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560" windowWidth="21200" windowHeight="17320" tabRatio="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'Sheet1'!$A$3:$L$390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<sst xmlns="http://schemas.openxmlformats.org/spreadsheetml/2006/main" count="1379" uniqueCount="377">
  <si>
    <t>Values written in blue are for products exported to NSIDC</t>
  </si>
  <si>
    <t>MOD29PGD</t>
  </si>
  <si>
    <t>MOD29PGN</t>
  </si>
  <si>
    <t>PGE44</t>
  </si>
  <si>
    <t>MOB29PDI</t>
  </si>
  <si>
    <t>MOB29PDT</t>
  </si>
  <si>
    <t>MOB29PNT</t>
  </si>
  <si>
    <t>MOD29P1D</t>
  </si>
  <si>
    <t>MOD29P1N</t>
  </si>
  <si>
    <t>PGE16</t>
  </si>
  <si>
    <t>MOB11_L2</t>
  </si>
  <si>
    <t>L4</t>
  </si>
  <si>
    <t>MOB11A1D</t>
  </si>
  <si>
    <t>MOB11A1N</t>
  </si>
  <si>
    <t>MOB11B1D</t>
  </si>
  <si>
    <t>MOB11B1N</t>
  </si>
  <si>
    <t>MOD11_L2</t>
  </si>
  <si>
    <t>BROWSE.MOD11_L2</t>
  </si>
  <si>
    <t>BROWSE.MOD11[AB]1</t>
  </si>
  <si>
    <t>MOD11A1</t>
  </si>
  <si>
    <t>MOD11B1</t>
  </si>
  <si>
    <t>MOD11UPD</t>
  </si>
  <si>
    <t>intermediate</t>
  </si>
  <si>
    <t>L4/L4d</t>
  </si>
  <si>
    <t>MOD11UPD2</t>
  </si>
  <si>
    <t>PGE31</t>
  </si>
  <si>
    <t>MOD11A2</t>
  </si>
  <si>
    <t>MOD11A2C</t>
  </si>
  <si>
    <t>MOB11A2D</t>
  </si>
  <si>
    <t>MOB11A2N</t>
  </si>
  <si>
    <t>PGE32</t>
  </si>
  <si>
    <t>MOD11C1</t>
  </si>
  <si>
    <t>MOB11C1D</t>
  </si>
  <si>
    <t>MOB11C1N</t>
  </si>
  <si>
    <t>PGE58</t>
  </si>
  <si>
    <t>MOD11C2</t>
  </si>
  <si>
    <t>MOB11C2D</t>
  </si>
  <si>
    <t>MOB11C2N</t>
  </si>
  <si>
    <t>L15</t>
  </si>
  <si>
    <t>PGE59</t>
  </si>
  <si>
    <t>Combined</t>
  </si>
  <si>
    <t>PGE21</t>
  </si>
  <si>
    <t>MOB09A1</t>
  </si>
  <si>
    <t>8-day</t>
  </si>
  <si>
    <t>L10</t>
  </si>
  <si>
    <t>MCD43D32</t>
  </si>
  <si>
    <t>MCD43D33</t>
  </si>
  <si>
    <t>MCD43D34</t>
  </si>
  <si>
    <t>MODPTQKM</t>
  </si>
  <si>
    <t>PGE13</t>
  </si>
  <si>
    <t>MOB09GA</t>
  </si>
  <si>
    <t>MOD09GA</t>
  </si>
  <si>
    <t>PGE23</t>
  </si>
  <si>
    <t>MCB43A1</t>
  </si>
  <si>
    <t>16-day every 8days</t>
  </si>
  <si>
    <t>AMPM_L12</t>
  </si>
  <si>
    <t>MCB43A3</t>
  </si>
  <si>
    <t>MCB43A4</t>
  </si>
  <si>
    <t>MCB43B1</t>
  </si>
  <si>
    <t>MCB43B3</t>
  </si>
  <si>
    <t>MCB43B4</t>
  </si>
  <si>
    <t>MCD43A1</t>
  </si>
  <si>
    <t>MCD43A1C</t>
  </si>
  <si>
    <t>MCD43A2</t>
  </si>
  <si>
    <t>MCD43A2C</t>
  </si>
  <si>
    <t>MCD43A3</t>
  </si>
  <si>
    <t>MCD43A3C</t>
  </si>
  <si>
    <t>MCD43A4</t>
  </si>
  <si>
    <t>MCD43A4C</t>
  </si>
  <si>
    <t>MCD43B1</t>
  </si>
  <si>
    <t>MCD43B1C</t>
  </si>
  <si>
    <t>MCD43B2</t>
  </si>
  <si>
    <t>PGE46</t>
  </si>
  <si>
    <t>MOB10C1</t>
  </si>
  <si>
    <t>L9</t>
  </si>
  <si>
    <t>MOD10C1</t>
  </si>
  <si>
    <t>PGE67</t>
  </si>
  <si>
    <t>ESDT names in RED indicate internal compression</t>
  </si>
  <si>
    <t>MOB10C2</t>
  </si>
  <si>
    <t>L11</t>
  </si>
  <si>
    <t>MOD10C2</t>
  </si>
  <si>
    <t>PGE84</t>
  </si>
  <si>
    <t>MOB29ERN</t>
  </si>
  <si>
    <t>L21</t>
  </si>
  <si>
    <t>MOB29ERS</t>
  </si>
  <si>
    <t>MOB29ETN</t>
  </si>
  <si>
    <t>MOB29ETS</t>
  </si>
  <si>
    <t>MOD29E1D</t>
  </si>
  <si>
    <t>PGE86</t>
  </si>
  <si>
    <t>MCD45A1</t>
  </si>
  <si>
    <t>Combined only</t>
  </si>
  <si>
    <t>L26</t>
  </si>
  <si>
    <t>MCD45A2</t>
  </si>
  <si>
    <t>PGE27</t>
  </si>
  <si>
    <t>MOD09IDN</t>
  </si>
  <si>
    <t>orbital</t>
  </si>
  <si>
    <t>MOD09IDS</t>
  </si>
  <si>
    <t>MOD09IDT</t>
  </si>
  <si>
    <t>PGE12</t>
  </si>
  <si>
    <t>MODMGGAD</t>
  </si>
  <si>
    <t>daily</t>
  </si>
  <si>
    <t>Instruments</t>
  </si>
  <si>
    <t>Recipe</t>
  </si>
  <si>
    <t>PGE07</t>
  </si>
  <si>
    <t>MOB10_L2</t>
  </si>
  <si>
    <t>granule</t>
  </si>
  <si>
    <t>PGE72 inputs</t>
  </si>
  <si>
    <t>MB/day</t>
  </si>
  <si>
    <t>total MB/day, single inputs</t>
  </si>
  <si>
    <t>MODMGGAN</t>
  </si>
  <si>
    <t>MODMGPGD</t>
  </si>
  <si>
    <t>L5P</t>
  </si>
  <si>
    <t>MODMGPGN</t>
  </si>
  <si>
    <t>MODPT1KD</t>
  </si>
  <si>
    <t>MODPT1KN</t>
  </si>
  <si>
    <t>MODPTHKM</t>
  </si>
  <si>
    <t>MODPTPGD</t>
  </si>
  <si>
    <t>MODPTPGN</t>
  </si>
  <si>
    <t>MCD43D12</t>
  </si>
  <si>
    <t>MCD43D13</t>
  </si>
  <si>
    <t>MCD43D14</t>
  </si>
  <si>
    <t>MOB13C1N</t>
  </si>
  <si>
    <t>MOD13C1</t>
  </si>
  <si>
    <t>PGE28</t>
  </si>
  <si>
    <t>L1 Total</t>
  </si>
  <si>
    <t>L3 Total</t>
  </si>
  <si>
    <t>L5 Total</t>
  </si>
  <si>
    <t>L5P Total</t>
  </si>
  <si>
    <t>L4 Total</t>
  </si>
  <si>
    <t>L10 Total</t>
  </si>
  <si>
    <t>AMPM_L12 Total</t>
  </si>
  <si>
    <t>L12 Total</t>
  </si>
  <si>
    <t>L12a Total</t>
  </si>
  <si>
    <t>L14c Total</t>
  </si>
  <si>
    <t>L23 Total</t>
  </si>
  <si>
    <t>L24 Total</t>
  </si>
  <si>
    <t>L25 Total</t>
  </si>
  <si>
    <t>L7 Total</t>
  </si>
  <si>
    <t>L16(abc) Total</t>
  </si>
  <si>
    <t>L9 Total</t>
  </si>
  <si>
    <t>L15 Total</t>
  </si>
  <si>
    <t>L17 Total</t>
  </si>
  <si>
    <t>L11 Total</t>
  </si>
  <si>
    <t>L21 Total</t>
  </si>
  <si>
    <t>L26 Total</t>
  </si>
  <si>
    <t>Production File Size (GB/Dataday)</t>
  </si>
  <si>
    <t>PGE82</t>
  </si>
  <si>
    <t>MCD43C3</t>
  </si>
  <si>
    <t>MCD43C4</t>
  </si>
  <si>
    <t>AMPM_L13 Total</t>
  </si>
  <si>
    <t>PGE30</t>
  </si>
  <si>
    <t>MOB14</t>
  </si>
  <si>
    <t>MOD14</t>
  </si>
  <si>
    <t>MOD14CRS</t>
  </si>
  <si>
    <t>PGE11</t>
  </si>
  <si>
    <t>MOB09</t>
  </si>
  <si>
    <t>L3</t>
  </si>
  <si>
    <t>MOB09CRT</t>
  </si>
  <si>
    <t>MOB09CRV</t>
  </si>
  <si>
    <t>MOD02CRS</t>
  </si>
  <si>
    <t>MOD02CSS</t>
  </si>
  <si>
    <t>MOD09</t>
  </si>
  <si>
    <t>MOB14AD2</t>
  </si>
  <si>
    <t>MOB14AD3</t>
  </si>
  <si>
    <t>MOB14AD4</t>
  </si>
  <si>
    <t>MOB14AD5</t>
  </si>
  <si>
    <t>MOB14AD6</t>
  </si>
  <si>
    <t>MOB14AD7</t>
  </si>
  <si>
    <t>Export to LPDAAC</t>
  </si>
  <si>
    <t>Export to NSIDC</t>
  </si>
  <si>
    <t>C5 LAADS</t>
  </si>
  <si>
    <t>MCD43D01</t>
  </si>
  <si>
    <t>L25</t>
  </si>
  <si>
    <t>L4e</t>
  </si>
  <si>
    <t>PGE16M</t>
  </si>
  <si>
    <t>Number of files</t>
  </si>
  <si>
    <t>MOD09SS</t>
  </si>
  <si>
    <t>L8 Total</t>
  </si>
  <si>
    <t>MOD14GN</t>
  </si>
  <si>
    <t>MODTBGD</t>
  </si>
  <si>
    <t>PGE14</t>
  </si>
  <si>
    <t>MOD10L2G</t>
  </si>
  <si>
    <t>PGE22</t>
  </si>
  <si>
    <t>MODAGAGG</t>
  </si>
  <si>
    <t>MODAGTEX</t>
  </si>
  <si>
    <t>PGE33</t>
  </si>
  <si>
    <t>MOD15A1</t>
  </si>
  <si>
    <t>MOD15A1C</t>
  </si>
  <si>
    <t>PGE43</t>
  </si>
  <si>
    <t>MOB10A1</t>
  </si>
  <si>
    <t>MOD10A1</t>
  </si>
  <si>
    <t>PGE80</t>
  </si>
  <si>
    <t>MODHDFSR</t>
  </si>
  <si>
    <t>total</t>
  </si>
  <si>
    <t>PGE15</t>
  </si>
  <si>
    <t>MCD43D15</t>
  </si>
  <si>
    <t>MCD43D16</t>
  </si>
  <si>
    <t>MCD43D17</t>
  </si>
  <si>
    <t>MCD43D18</t>
  </si>
  <si>
    <t>MCD43D19</t>
  </si>
  <si>
    <t>MCD43D20</t>
  </si>
  <si>
    <t>Grand Totals</t>
  </si>
  <si>
    <t>MOB13C2E</t>
  </si>
  <si>
    <t>L24</t>
  </si>
  <si>
    <t>MOB13C2N</t>
  </si>
  <si>
    <t>MOD13C2</t>
  </si>
  <si>
    <t>PGE88</t>
  </si>
  <si>
    <t>MOD10CM</t>
  </si>
  <si>
    <t>PGE75</t>
  </si>
  <si>
    <t>MOB09CMG</t>
  </si>
  <si>
    <t>L7</t>
  </si>
  <si>
    <t>MOD09CMA</t>
  </si>
  <si>
    <t>MOD09CMG</t>
  </si>
  <si>
    <t>PGE36</t>
  </si>
  <si>
    <t>MOD17A1</t>
  </si>
  <si>
    <t>L16a</t>
  </si>
  <si>
    <t>PGE37</t>
  </si>
  <si>
    <t>MOD17A2</t>
  </si>
  <si>
    <t>L16b</t>
  </si>
  <si>
    <t>MOD17A2C</t>
  </si>
  <si>
    <t>PGE38</t>
  </si>
  <si>
    <t>MOD17A3</t>
  </si>
  <si>
    <t>yearly</t>
  </si>
  <si>
    <t>MOD17A3C</t>
  </si>
  <si>
    <t>L16c</t>
  </si>
  <si>
    <t>MCD43B2C</t>
  </si>
  <si>
    <t>MCD43B3</t>
  </si>
  <si>
    <t>MCD43B3C</t>
  </si>
  <si>
    <t>MCD43B4</t>
  </si>
  <si>
    <t>MCD43B4C</t>
  </si>
  <si>
    <t>PGE24</t>
  </si>
  <si>
    <t>PGE94</t>
  </si>
  <si>
    <t>MCD15A3</t>
  </si>
  <si>
    <t>MCD15A3C</t>
  </si>
  <si>
    <t>4-day</t>
  </si>
  <si>
    <t>L8</t>
  </si>
  <si>
    <t>MCD45A1C</t>
  </si>
  <si>
    <t>328*</t>
  </si>
  <si>
    <t>*NOTE: The MODTBGN product listed under PGE13 is not being generated at this time, this is place holder information only based on</t>
  </si>
  <si>
    <t>the filesize of the MODTBGD products.</t>
  </si>
  <si>
    <t>MOD09GQK</t>
  </si>
  <si>
    <t>MOD09GST</t>
  </si>
  <si>
    <t>MOD14GD</t>
  </si>
  <si>
    <t>Color Codes</t>
  </si>
  <si>
    <t>Values written in green are for products exported to LP DAAC</t>
  </si>
  <si>
    <t>MCD43D21</t>
  </si>
  <si>
    <t>MCD43D22</t>
  </si>
  <si>
    <t>File Size (MB/Dataday)</t>
  </si>
  <si>
    <t>MOB14AD8</t>
  </si>
  <si>
    <t>MOD14A1</t>
  </si>
  <si>
    <t>MOD14A1C</t>
  </si>
  <si>
    <t>MOD14A2</t>
  </si>
  <si>
    <t>MOD14A2C</t>
  </si>
  <si>
    <t>Total</t>
  </si>
  <si>
    <t>PGE34</t>
  </si>
  <si>
    <t>MOB15A2F</t>
  </si>
  <si>
    <t>Terra/Aqua/Combined</t>
  </si>
  <si>
    <t>MOB15A2L</t>
  </si>
  <si>
    <t>MOD15A2</t>
  </si>
  <si>
    <t>MOD15A2C</t>
  </si>
  <si>
    <t>Terra/Aqua/Combined?</t>
  </si>
  <si>
    <t>PGE45</t>
  </si>
  <si>
    <t>MOB10A2</t>
  </si>
  <si>
    <t>MOD10A2</t>
  </si>
  <si>
    <t>MOD10A2C</t>
  </si>
  <si>
    <t>PGE25</t>
  </si>
  <si>
    <t>MOB13A1E</t>
  </si>
  <si>
    <t xml:space="preserve">16-day  </t>
  </si>
  <si>
    <t>L12</t>
  </si>
  <si>
    <t>MOB13A1N</t>
  </si>
  <si>
    <t xml:space="preserve">16-day </t>
  </si>
  <si>
    <t>MOD13A1</t>
  </si>
  <si>
    <t>16-day</t>
  </si>
  <si>
    <t>PGE25Q</t>
  </si>
  <si>
    <t>MOD13Q1</t>
  </si>
  <si>
    <t>PGE35</t>
  </si>
  <si>
    <t>MOB13A2E</t>
  </si>
  <si>
    <t>MOB13A2N</t>
  </si>
  <si>
    <t>MOD13A2</t>
  </si>
  <si>
    <t>MOD13A2C</t>
  </si>
  <si>
    <t>PGE72</t>
  </si>
  <si>
    <t>MOD44CH</t>
  </si>
  <si>
    <t>L12a</t>
  </si>
  <si>
    <t>MOD44CQ</t>
  </si>
  <si>
    <t>MOD44CT</t>
  </si>
  <si>
    <t>PGE26</t>
  </si>
  <si>
    <t>MOB13A3E</t>
  </si>
  <si>
    <t>Monthly</t>
  </si>
  <si>
    <t>L14c</t>
  </si>
  <si>
    <t>MOB13A3N</t>
  </si>
  <si>
    <t>MOD13A3</t>
  </si>
  <si>
    <t>MOD09GHK</t>
  </si>
  <si>
    <t>MOD09GQ</t>
  </si>
  <si>
    <t>Number of files per dataday</t>
  </si>
  <si>
    <t>LAND Archive Information Table for LAADS</t>
  </si>
  <si>
    <t xml:space="preserve"> </t>
  </si>
  <si>
    <t>MOD09A1</t>
  </si>
  <si>
    <t>MOD09A1C</t>
  </si>
  <si>
    <t>PGE21Q</t>
  </si>
  <si>
    <t>MOD09Q1</t>
  </si>
  <si>
    <t>PGE29</t>
  </si>
  <si>
    <t>MOB14A2</t>
  </si>
  <si>
    <t>MOB14AD1</t>
  </si>
  <si>
    <t>MODTBGN</t>
  </si>
  <si>
    <t>Terra/Aqua</t>
  </si>
  <si>
    <t>L1</t>
  </si>
  <si>
    <t>MOD10_L2</t>
  </si>
  <si>
    <t>MOD10L2C</t>
  </si>
  <si>
    <t xml:space="preserve">BROWSE </t>
  </si>
  <si>
    <t xml:space="preserve">total </t>
  </si>
  <si>
    <t>PGE08</t>
  </si>
  <si>
    <t>MOB29IST</t>
  </si>
  <si>
    <t>MOB29SIR</t>
  </si>
  <si>
    <t>MOD29</t>
  </si>
  <si>
    <t>MOD29L2C</t>
  </si>
  <si>
    <t>BROWSE</t>
  </si>
  <si>
    <t>MCD43D02</t>
  </si>
  <si>
    <t>MCD43D03</t>
  </si>
  <si>
    <t>MCD43D04</t>
  </si>
  <si>
    <t>MCD43D05</t>
  </si>
  <si>
    <t>MCD43D06</t>
  </si>
  <si>
    <t>MCD43D07</t>
  </si>
  <si>
    <t>MCD43D08</t>
  </si>
  <si>
    <t>MCD43D09</t>
  </si>
  <si>
    <t>MCD43D10</t>
  </si>
  <si>
    <t>MCD43D11</t>
  </si>
  <si>
    <t>monthly</t>
  </si>
  <si>
    <t>MOD09CRS</t>
  </si>
  <si>
    <t>Grey block under C5 LAADS indicates product does not go to LAADS</t>
  </si>
  <si>
    <t>Grey block under C5 Data Pool indicates product does not go to LAADS</t>
  </si>
  <si>
    <t>MCD43D25</t>
  </si>
  <si>
    <t>MCD43D26</t>
  </si>
  <si>
    <t>MCD43D27</t>
  </si>
  <si>
    <t>MCD43D28</t>
  </si>
  <si>
    <t>MCD43D29</t>
  </si>
  <si>
    <t>MCD43D30</t>
  </si>
  <si>
    <t>MCD43D31</t>
  </si>
  <si>
    <t>L5</t>
  </si>
  <si>
    <t>MOB17A2G</t>
  </si>
  <si>
    <t>MOB17A2N</t>
  </si>
  <si>
    <t>MOB17A3</t>
  </si>
  <si>
    <t>MCD43D23</t>
  </si>
  <si>
    <t>MCD43D24</t>
  </si>
  <si>
    <t>total MB of 16-days of inputs</t>
  </si>
  <si>
    <t>total GB of 16-days of inputs</t>
  </si>
  <si>
    <t>PGE24 inputs</t>
  </si>
  <si>
    <t>18G for both total</t>
  </si>
  <si>
    <t>7.1G for output totals</t>
  </si>
  <si>
    <t>23.1G total for PGE24 when on minion</t>
  </si>
  <si>
    <t>L10 inputs</t>
  </si>
  <si>
    <t>total mb/day of single inputs</t>
  </si>
  <si>
    <t>total mb for 8-days of inputs</t>
  </si>
  <si>
    <t>total GB for 8-days of inputs</t>
  </si>
  <si>
    <t>40.2 MB/day</t>
  </si>
  <si>
    <t>.78 MB/day</t>
  </si>
  <si>
    <t>L12 inputs</t>
  </si>
  <si>
    <t>MB outputs</t>
  </si>
  <si>
    <t>MYDMGGAD</t>
  </si>
  <si>
    <t>MYD09GHK</t>
  </si>
  <si>
    <t>MYD09GST</t>
  </si>
  <si>
    <t>MYDPTHKM</t>
  </si>
  <si>
    <t>GB of 16-days of inputs</t>
  </si>
  <si>
    <t xml:space="preserve">outputs </t>
  </si>
  <si>
    <t>total GB produced in 1 run</t>
  </si>
  <si>
    <t>MCD43C1</t>
  </si>
  <si>
    <t>16-days every 8 days</t>
  </si>
  <si>
    <t>AMPM_L13</t>
  </si>
  <si>
    <t>MCD43C2</t>
  </si>
  <si>
    <t>MOB13C1E</t>
  </si>
  <si>
    <t>L23</t>
  </si>
  <si>
    <t>MOD11C3</t>
  </si>
  <si>
    <t>MOB11C3D</t>
  </si>
  <si>
    <t>MOB11C3N</t>
  </si>
  <si>
    <t>L17</t>
  </si>
  <si>
    <t>PGE</t>
  </si>
  <si>
    <t>ESDT</t>
  </si>
  <si>
    <t>Data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</si>
</sst>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10"/>
      <color indexed="17"/>
      <name val="Verdana"/>
      <family val="0"/>
    </font>
    <font>
      <sz val="10"/>
      <color indexed="17"/>
      <name val="Arial"/>
      <family val="0"/>
    </font>
    <font>
      <sz val="10"/>
      <color indexed="12"/>
      <name val="Verdana"/>
      <family val="0"/>
    </font>
    <font>
      <sz val="10"/>
      <color indexed="12"/>
      <name val="Arial"/>
      <family val="0"/>
    </font>
    <font>
      <sz val="10"/>
      <color indexed="10"/>
      <name val="Verdana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12"/>
      <name val="Verdana"/>
      <family val="0"/>
    </font>
    <font>
      <b/>
      <sz val="10"/>
      <color indexed="17"/>
      <name val="Verdana"/>
      <family val="0"/>
    </font>
    <font>
      <b/>
      <sz val="10"/>
      <color indexed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49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49" fontId="7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67" fontId="10" fillId="0" borderId="1" xfId="0" applyNumberFormat="1" applyFont="1" applyBorder="1" applyAlignment="1">
      <alignment/>
    </xf>
    <xf numFmtId="167" fontId="10" fillId="0" borderId="3" xfId="0" applyNumberFormat="1" applyFont="1" applyBorder="1" applyAlignment="1">
      <alignment/>
    </xf>
    <xf numFmtId="167" fontId="8" fillId="0" borderId="3" xfId="0" applyNumberFormat="1" applyFont="1" applyBorder="1" applyAlignment="1">
      <alignment horizontal="center" wrapText="1"/>
    </xf>
    <xf numFmtId="167" fontId="10" fillId="0" borderId="3" xfId="0" applyNumberFormat="1" applyFont="1" applyBorder="1" applyAlignment="1">
      <alignment horizontal="center" wrapText="1"/>
    </xf>
    <xf numFmtId="167" fontId="8" fillId="0" borderId="4" xfId="0" applyNumberFormat="1" applyFont="1" applyBorder="1" applyAlignment="1">
      <alignment/>
    </xf>
    <xf numFmtId="167" fontId="10" fillId="0" borderId="4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167" fontId="10" fillId="0" borderId="5" xfId="0" applyNumberFormat="1" applyFont="1" applyBorder="1" applyAlignment="1">
      <alignment/>
    </xf>
    <xf numFmtId="167" fontId="8" fillId="0" borderId="3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167" fontId="10" fillId="0" borderId="2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10" fillId="0" borderId="6" xfId="0" applyNumberFormat="1" applyFont="1" applyBorder="1" applyAlignment="1">
      <alignment/>
    </xf>
    <xf numFmtId="167" fontId="0" fillId="0" borderId="2" xfId="0" applyNumberFormat="1" applyFont="1" applyFill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10" fillId="0" borderId="2" xfId="0" applyNumberFormat="1" applyFont="1" applyFill="1" applyBorder="1" applyAlignment="1">
      <alignment/>
    </xf>
    <xf numFmtId="167" fontId="7" fillId="0" borderId="1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7" fontId="9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9" fillId="0" borderId="3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7" fontId="1" fillId="2" borderId="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7" fontId="10" fillId="2" borderId="1" xfId="0" applyNumberFormat="1" applyFont="1" applyFill="1" applyBorder="1" applyAlignment="1">
      <alignment/>
    </xf>
    <xf numFmtId="167" fontId="10" fillId="2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0" borderId="3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7" fontId="0" fillId="0" borderId="4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2" borderId="1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2" borderId="5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2" borderId="3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/>
    </xf>
    <xf numFmtId="167" fontId="7" fillId="0" borderId="2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7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167" fontId="7" fillId="0" borderId="13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167" fontId="1" fillId="2" borderId="5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7" fontId="0" fillId="2" borderId="2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2" fillId="0" borderId="3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49" fontId="12" fillId="0" borderId="2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67" fontId="16" fillId="2" borderId="2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167" fontId="16" fillId="2" borderId="5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167" fontId="16" fillId="2" borderId="0" xfId="0" applyNumberFormat="1" applyFont="1" applyFill="1" applyAlignment="1">
      <alignment/>
    </xf>
    <xf numFmtId="167" fontId="8" fillId="0" borderId="0" xfId="0" applyNumberFormat="1" applyFont="1" applyAlignment="1">
      <alignment/>
    </xf>
    <xf numFmtId="167" fontId="17" fillId="2" borderId="2" xfId="0" applyNumberFormat="1" applyFont="1" applyFill="1" applyBorder="1" applyAlignment="1">
      <alignment/>
    </xf>
    <xf numFmtId="167" fontId="17" fillId="2" borderId="5" xfId="0" applyNumberFormat="1" applyFont="1" applyFill="1" applyBorder="1" applyAlignment="1">
      <alignment/>
    </xf>
    <xf numFmtId="167" fontId="17" fillId="0" borderId="0" xfId="0" applyNumberFormat="1" applyFont="1" applyFill="1" applyBorder="1" applyAlignment="1">
      <alignment/>
    </xf>
    <xf numFmtId="167" fontId="17" fillId="2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67" fontId="0" fillId="3" borderId="12" xfId="0" applyNumberFormat="1" applyFont="1" applyFill="1" applyBorder="1" applyAlignment="1">
      <alignment/>
    </xf>
    <xf numFmtId="167" fontId="8" fillId="3" borderId="12" xfId="0" applyNumberFormat="1" applyFont="1" applyFill="1" applyBorder="1" applyAlignment="1">
      <alignment/>
    </xf>
    <xf numFmtId="167" fontId="10" fillId="3" borderId="15" xfId="0" applyNumberFormat="1" applyFont="1" applyFill="1" applyBorder="1" applyAlignment="1">
      <alignment/>
    </xf>
    <xf numFmtId="167" fontId="10" fillId="0" borderId="17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7" fontId="0" fillId="3" borderId="19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7" fontId="0" fillId="3" borderId="15" xfId="0" applyNumberFormat="1" applyFont="1" applyFill="1" applyBorder="1" applyAlignment="1">
      <alignment/>
    </xf>
    <xf numFmtId="167" fontId="8" fillId="3" borderId="15" xfId="0" applyNumberFormat="1" applyFont="1" applyFill="1" applyBorder="1" applyAlignment="1">
      <alignment/>
    </xf>
    <xf numFmtId="167" fontId="10" fillId="3" borderId="12" xfId="0" applyNumberFormat="1" applyFont="1" applyFill="1" applyBorder="1" applyAlignment="1">
      <alignment/>
    </xf>
    <xf numFmtId="167" fontId="0" fillId="3" borderId="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67" fontId="0" fillId="0" borderId="17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0" fontId="10" fillId="0" borderId="16" xfId="0" applyFont="1" applyBorder="1" applyAlignment="1">
      <alignment/>
    </xf>
    <xf numFmtId="167" fontId="10" fillId="0" borderId="12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10" fillId="0" borderId="14" xfId="0" applyNumberFormat="1" applyFont="1" applyBorder="1" applyAlignment="1">
      <alignment/>
    </xf>
    <xf numFmtId="167" fontId="0" fillId="2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67" fontId="14" fillId="0" borderId="1" xfId="0" applyNumberFormat="1" applyFont="1" applyBorder="1" applyAlignment="1">
      <alignment/>
    </xf>
    <xf numFmtId="167" fontId="14" fillId="0" borderId="3" xfId="0" applyNumberFormat="1" applyFont="1" applyBorder="1" applyAlignment="1">
      <alignment/>
    </xf>
    <xf numFmtId="167" fontId="0" fillId="2" borderId="1" xfId="0" applyNumberFormat="1" applyFont="1" applyFill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2" borderId="2" xfId="0" applyNumberFormat="1" applyFont="1" applyFill="1" applyBorder="1" applyAlignment="1">
      <alignment/>
    </xf>
    <xf numFmtId="167" fontId="0" fillId="2" borderId="3" xfId="0" applyNumberFormat="1" applyFont="1" applyFill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6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78"/>
  <sheetViews>
    <sheetView tabSelected="1" workbookViewId="0" topLeftCell="A32">
      <selection activeCell="J77" sqref="J77"/>
    </sheetView>
  </sheetViews>
  <sheetFormatPr defaultColWidth="11.00390625" defaultRowHeight="12.75"/>
  <cols>
    <col min="1" max="1" width="6.75390625" style="64" customWidth="1"/>
    <col min="2" max="2" width="10.75390625" style="64" customWidth="1"/>
    <col min="3" max="3" width="10.875" style="64" customWidth="1"/>
    <col min="4" max="4" width="10.875" style="64" hidden="1" customWidth="1"/>
    <col min="5" max="5" width="10.875" style="64" customWidth="1"/>
    <col min="6" max="6" width="12.125" style="30" hidden="1" customWidth="1"/>
    <col min="7" max="7" width="11.75390625" style="63" customWidth="1"/>
    <col min="8" max="8" width="8.875" style="19" customWidth="1"/>
    <col min="9" max="9" width="10.00390625" style="20" customWidth="1"/>
    <col min="10" max="10" width="9.75390625" style="63" customWidth="1"/>
    <col min="11" max="11" width="10.375" style="64" customWidth="1"/>
    <col min="12" max="12" width="9.625" style="64" customWidth="1"/>
    <col min="80" max="16384" width="10.75390625" style="40" customWidth="1"/>
  </cols>
  <sheetData>
    <row r="1" spans="1:78" s="71" customFormat="1" ht="15.75">
      <c r="A1" s="119"/>
      <c r="B1" s="119"/>
      <c r="C1" s="119"/>
      <c r="D1" s="119"/>
      <c r="E1" s="119"/>
      <c r="F1" s="120"/>
      <c r="G1" s="121" t="s">
        <v>294</v>
      </c>
      <c r="H1" s="122"/>
      <c r="I1" s="123"/>
      <c r="J1" s="120"/>
      <c r="K1" s="11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</row>
    <row r="2" spans="6:255" s="124" customFormat="1" ht="12.75">
      <c r="F2" s="125"/>
      <c r="G2" s="125"/>
      <c r="H2" s="126"/>
      <c r="I2" s="127"/>
      <c r="J2" s="125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</row>
    <row r="3" spans="1:12" ht="52.5" thickBot="1">
      <c r="A3" s="43" t="s">
        <v>374</v>
      </c>
      <c r="B3" s="43" t="s">
        <v>375</v>
      </c>
      <c r="C3" s="43" t="s">
        <v>376</v>
      </c>
      <c r="D3" s="43" t="s">
        <v>175</v>
      </c>
      <c r="E3" s="43" t="s">
        <v>293</v>
      </c>
      <c r="F3" s="44" t="s">
        <v>247</v>
      </c>
      <c r="G3" s="44" t="s">
        <v>145</v>
      </c>
      <c r="H3" s="11" t="s">
        <v>168</v>
      </c>
      <c r="I3" s="12" t="s">
        <v>169</v>
      </c>
      <c r="J3" s="45" t="s">
        <v>170</v>
      </c>
      <c r="K3" s="46" t="s">
        <v>101</v>
      </c>
      <c r="L3" s="46" t="s">
        <v>102</v>
      </c>
    </row>
    <row r="4" spans="1:12" ht="12.75">
      <c r="A4" s="47" t="s">
        <v>103</v>
      </c>
      <c r="B4" s="47" t="s">
        <v>104</v>
      </c>
      <c r="C4" s="48" t="s">
        <v>105</v>
      </c>
      <c r="D4" s="48">
        <v>164</v>
      </c>
      <c r="E4" s="48">
        <v>164</v>
      </c>
      <c r="F4" s="183">
        <f>(22946.5222929936/1024/1024)*164</f>
        <v>3.5888954697141173</v>
      </c>
      <c r="G4" s="49">
        <f>F4/1024</f>
        <v>0.0035047807321426927</v>
      </c>
      <c r="H4" s="13"/>
      <c r="I4" s="14"/>
      <c r="J4" s="57"/>
      <c r="K4" s="48" t="s">
        <v>304</v>
      </c>
      <c r="L4" s="48" t="s">
        <v>305</v>
      </c>
    </row>
    <row r="5" spans="1:12" ht="12.75">
      <c r="A5" s="50" t="s">
        <v>103</v>
      </c>
      <c r="B5" s="95" t="s">
        <v>306</v>
      </c>
      <c r="C5" s="51" t="s">
        <v>105</v>
      </c>
      <c r="D5" s="51">
        <v>164</v>
      </c>
      <c r="E5" s="51">
        <v>164</v>
      </c>
      <c r="F5" s="180">
        <f>1.8294*164</f>
        <v>300.0216</v>
      </c>
      <c r="G5" s="52">
        <f>F5/1024</f>
        <v>0.29298984375</v>
      </c>
      <c r="H5" s="15"/>
      <c r="I5" s="9">
        <f>G5</f>
        <v>0.29298984375</v>
      </c>
      <c r="J5" s="57"/>
      <c r="K5" s="51" t="s">
        <v>304</v>
      </c>
      <c r="L5" s="51" t="s">
        <v>305</v>
      </c>
    </row>
    <row r="6" spans="1:12" ht="12.75">
      <c r="A6" s="54" t="s">
        <v>103</v>
      </c>
      <c r="B6" s="54" t="s">
        <v>307</v>
      </c>
      <c r="C6" s="55" t="s">
        <v>105</v>
      </c>
      <c r="D6" s="55">
        <v>164</v>
      </c>
      <c r="E6" s="55">
        <v>164</v>
      </c>
      <c r="F6" s="184">
        <f>(1156369.29936305/1024/1024)*E6</f>
        <v>180.85915097764988</v>
      </c>
      <c r="G6" s="56">
        <f>F6/1024</f>
        <v>0.1766202646266112</v>
      </c>
      <c r="H6" s="16"/>
      <c r="I6" s="17"/>
      <c r="J6" s="57"/>
      <c r="K6" s="55" t="s">
        <v>304</v>
      </c>
      <c r="L6" s="55" t="s">
        <v>305</v>
      </c>
    </row>
    <row r="7" spans="1:12" ht="13.5" thickBot="1">
      <c r="A7" s="58" t="s">
        <v>103</v>
      </c>
      <c r="B7" s="58" t="s">
        <v>308</v>
      </c>
      <c r="C7" s="59" t="s">
        <v>105</v>
      </c>
      <c r="D7" s="59">
        <v>164</v>
      </c>
      <c r="E7" s="59">
        <v>164</v>
      </c>
      <c r="F7" s="185">
        <f>0.0266*164</f>
        <v>4.3624</v>
      </c>
      <c r="G7" s="60">
        <f>F7/1024</f>
        <v>0.00426015625</v>
      </c>
      <c r="H7" s="18"/>
      <c r="I7" s="10">
        <f>G7</f>
        <v>0.00426015625</v>
      </c>
      <c r="J7" s="174"/>
      <c r="K7" s="59" t="s">
        <v>304</v>
      </c>
      <c r="L7" s="59" t="s">
        <v>305</v>
      </c>
    </row>
    <row r="8" spans="1:10" ht="12.75">
      <c r="A8" s="62"/>
      <c r="B8" s="62"/>
      <c r="C8" s="5" t="s">
        <v>309</v>
      </c>
      <c r="D8" s="5"/>
      <c r="E8" s="5"/>
      <c r="F8" s="32">
        <f>SUM(F4:F7)</f>
        <v>488.83204644736395</v>
      </c>
      <c r="G8" s="32">
        <f>SUM(G4:G7)</f>
        <v>0.47737504535875386</v>
      </c>
      <c r="I8" s="20">
        <f>SUM(I5:I7)</f>
        <v>0.29724999999999996</v>
      </c>
      <c r="J8" s="63">
        <f>SUM(J4:J7)</f>
        <v>0</v>
      </c>
    </row>
    <row r="9" spans="1:7" ht="12.75">
      <c r="A9" s="62"/>
      <c r="B9" s="62"/>
      <c r="C9" s="65"/>
      <c r="D9" s="65"/>
      <c r="E9" s="65"/>
      <c r="F9" s="32"/>
      <c r="G9" s="66"/>
    </row>
    <row r="10" spans="1:12" ht="12.75">
      <c r="A10" s="50" t="s">
        <v>310</v>
      </c>
      <c r="B10" s="50" t="s">
        <v>311</v>
      </c>
      <c r="C10" s="51" t="s">
        <v>105</v>
      </c>
      <c r="D10" s="51">
        <v>178</v>
      </c>
      <c r="E10" s="51">
        <v>178</v>
      </c>
      <c r="F10" s="180">
        <f>0.0461*D10</f>
        <v>8.2058</v>
      </c>
      <c r="G10" s="52">
        <f aca="true" t="shared" si="0" ref="G10:G15">F10/1024</f>
        <v>0.0080134765625</v>
      </c>
      <c r="H10" s="15"/>
      <c r="I10" s="9"/>
      <c r="J10" s="57"/>
      <c r="K10" s="51" t="s">
        <v>304</v>
      </c>
      <c r="L10" s="51" t="s">
        <v>305</v>
      </c>
    </row>
    <row r="11" spans="1:12" ht="12.75">
      <c r="A11" s="50" t="s">
        <v>310</v>
      </c>
      <c r="B11" s="50" t="s">
        <v>312</v>
      </c>
      <c r="C11" s="51" t="s">
        <v>105</v>
      </c>
      <c r="D11" s="51">
        <v>106</v>
      </c>
      <c r="E11" s="51">
        <v>106</v>
      </c>
      <c r="F11" s="180">
        <f>0.0287*D11</f>
        <v>3.0422</v>
      </c>
      <c r="G11" s="52">
        <f t="shared" si="0"/>
        <v>0.0029708984375</v>
      </c>
      <c r="H11" s="15"/>
      <c r="I11" s="9"/>
      <c r="J11" s="57"/>
      <c r="K11" s="51" t="s">
        <v>304</v>
      </c>
      <c r="L11" s="51" t="s">
        <v>305</v>
      </c>
    </row>
    <row r="12" spans="1:12" ht="12.75">
      <c r="A12" s="50" t="s">
        <v>310</v>
      </c>
      <c r="B12" s="95" t="s">
        <v>313</v>
      </c>
      <c r="C12" s="51" t="s">
        <v>105</v>
      </c>
      <c r="D12" s="51">
        <v>178</v>
      </c>
      <c r="E12" s="51">
        <v>178</v>
      </c>
      <c r="F12" s="180">
        <f>1.6971*D12</f>
        <v>302.0838</v>
      </c>
      <c r="G12" s="52">
        <f t="shared" si="0"/>
        <v>0.2950037109375</v>
      </c>
      <c r="H12" s="15"/>
      <c r="I12" s="9">
        <f>G12</f>
        <v>0.2950037109375</v>
      </c>
      <c r="J12" s="57"/>
      <c r="K12" s="51" t="s">
        <v>304</v>
      </c>
      <c r="L12" s="51" t="s">
        <v>305</v>
      </c>
    </row>
    <row r="13" spans="1:12" ht="12.75">
      <c r="A13" s="67" t="s">
        <v>310</v>
      </c>
      <c r="B13" s="67" t="s">
        <v>314</v>
      </c>
      <c r="C13" s="68" t="s">
        <v>105</v>
      </c>
      <c r="D13" s="68">
        <v>178</v>
      </c>
      <c r="E13" s="68">
        <v>178</v>
      </c>
      <c r="F13" s="186">
        <f>1.3366*D13</f>
        <v>237.9148</v>
      </c>
      <c r="G13" s="69">
        <f t="shared" si="0"/>
        <v>0.232338671875</v>
      </c>
      <c r="H13" s="21"/>
      <c r="I13" s="22"/>
      <c r="J13" s="70"/>
      <c r="K13" s="68" t="s">
        <v>304</v>
      </c>
      <c r="L13" s="68" t="s">
        <v>305</v>
      </c>
    </row>
    <row r="14" spans="1:12" ht="13.5" thickBot="1">
      <c r="A14" s="58" t="s">
        <v>310</v>
      </c>
      <c r="B14" s="58" t="s">
        <v>315</v>
      </c>
      <c r="C14" s="59" t="s">
        <v>105</v>
      </c>
      <c r="D14" s="59">
        <v>178</v>
      </c>
      <c r="E14" s="59">
        <v>178</v>
      </c>
      <c r="F14" s="185">
        <f>0.0649*D14</f>
        <v>11.5522</v>
      </c>
      <c r="G14" s="60">
        <f t="shared" si="0"/>
        <v>0.0112814453125</v>
      </c>
      <c r="H14" s="18"/>
      <c r="I14" s="10">
        <f>G14</f>
        <v>0.0112814453125</v>
      </c>
      <c r="J14" s="174"/>
      <c r="K14" s="59" t="s">
        <v>304</v>
      </c>
      <c r="L14" s="59" t="s">
        <v>305</v>
      </c>
    </row>
    <row r="15" spans="1:10" ht="12.75">
      <c r="A15" s="62"/>
      <c r="B15" s="62"/>
      <c r="C15" s="65" t="s">
        <v>309</v>
      </c>
      <c r="D15" s="65"/>
      <c r="E15" s="65"/>
      <c r="F15" s="32">
        <f>SUM(F10:F14)</f>
        <v>562.7987999999999</v>
      </c>
      <c r="G15" s="32">
        <f t="shared" si="0"/>
        <v>0.5496082031249999</v>
      </c>
      <c r="I15" s="20">
        <f>SUM(I12:I14)</f>
        <v>0.30628515624999997</v>
      </c>
      <c r="J15" s="63">
        <f>SUM(J10:J14)</f>
        <v>0</v>
      </c>
    </row>
    <row r="17" spans="1:12" ht="12.75">
      <c r="A17" s="50" t="s">
        <v>150</v>
      </c>
      <c r="B17" s="50" t="s">
        <v>151</v>
      </c>
      <c r="C17" s="51" t="s">
        <v>105</v>
      </c>
      <c r="D17" s="51">
        <v>288</v>
      </c>
      <c r="E17" s="51">
        <v>288</v>
      </c>
      <c r="F17" s="180">
        <f>0.0158*D17</f>
        <v>4.550400000000001</v>
      </c>
      <c r="G17" s="52">
        <f>F17/1024</f>
        <v>0.004443750000000001</v>
      </c>
      <c r="H17" s="15"/>
      <c r="I17" s="9"/>
      <c r="J17" s="57"/>
      <c r="K17" s="51" t="s">
        <v>304</v>
      </c>
      <c r="L17" s="51" t="s">
        <v>305</v>
      </c>
    </row>
    <row r="18" spans="1:12" ht="12.75">
      <c r="A18" s="50" t="s">
        <v>150</v>
      </c>
      <c r="B18" s="95" t="s">
        <v>152</v>
      </c>
      <c r="C18" s="51" t="s">
        <v>105</v>
      </c>
      <c r="D18" s="51">
        <v>288</v>
      </c>
      <c r="E18" s="51">
        <v>288</v>
      </c>
      <c r="F18" s="180">
        <f>0.2122*D18</f>
        <v>61.1136</v>
      </c>
      <c r="G18" s="52">
        <f>F18/1024</f>
        <v>0.05968125</v>
      </c>
      <c r="H18" s="15">
        <f>G18</f>
        <v>0.05968125</v>
      </c>
      <c r="I18" s="9"/>
      <c r="J18" s="57"/>
      <c r="K18" s="51" t="s">
        <v>304</v>
      </c>
      <c r="L18" s="51" t="s">
        <v>305</v>
      </c>
    </row>
    <row r="19" spans="1:12" ht="12.75">
      <c r="A19" s="50" t="s">
        <v>150</v>
      </c>
      <c r="B19" s="50" t="s">
        <v>153</v>
      </c>
      <c r="C19" s="51" t="s">
        <v>105</v>
      </c>
      <c r="D19" s="51">
        <v>288</v>
      </c>
      <c r="E19" s="51">
        <v>288</v>
      </c>
      <c r="F19" s="180">
        <f>0.9665*D19</f>
        <v>278.35200000000003</v>
      </c>
      <c r="G19" s="52">
        <f>F19/1024</f>
        <v>0.27182812500000003</v>
      </c>
      <c r="H19" s="15"/>
      <c r="I19" s="9"/>
      <c r="J19" s="53"/>
      <c r="K19" s="51" t="s">
        <v>304</v>
      </c>
      <c r="L19" s="51" t="s">
        <v>305</v>
      </c>
    </row>
    <row r="20" spans="1:12" ht="13.5" thickBot="1">
      <c r="A20" s="58" t="s">
        <v>150</v>
      </c>
      <c r="B20" s="58" t="s">
        <v>315</v>
      </c>
      <c r="C20" s="59" t="s">
        <v>105</v>
      </c>
      <c r="D20" s="59">
        <v>288</v>
      </c>
      <c r="E20" s="59">
        <v>288</v>
      </c>
      <c r="F20" s="185">
        <f>0.0173*D20</f>
        <v>4.9824</v>
      </c>
      <c r="G20" s="60">
        <f>F20/1024</f>
        <v>0.004865625</v>
      </c>
      <c r="H20" s="18">
        <f>G20</f>
        <v>0.004865625</v>
      </c>
      <c r="I20" s="10"/>
      <c r="J20" s="174"/>
      <c r="K20" s="59" t="s">
        <v>304</v>
      </c>
      <c r="L20" s="59" t="s">
        <v>305</v>
      </c>
    </row>
    <row r="21" spans="1:10" ht="12.75">
      <c r="A21" s="62"/>
      <c r="B21" s="62"/>
      <c r="C21" s="65" t="s">
        <v>309</v>
      </c>
      <c r="D21" s="65"/>
      <c r="E21" s="65"/>
      <c r="F21" s="32">
        <f>SUM(F17:F20)</f>
        <v>348.9984</v>
      </c>
      <c r="G21" s="32">
        <f>F21/1024</f>
        <v>0.34081875</v>
      </c>
      <c r="H21" s="19">
        <f>SUM(H18:H20)</f>
        <v>0.064546875</v>
      </c>
      <c r="J21" s="63">
        <f>SUM(J17:J20)</f>
        <v>0</v>
      </c>
    </row>
    <row r="22" spans="1:7" ht="12.75">
      <c r="A22" s="62"/>
      <c r="B22" s="62"/>
      <c r="C22" s="65"/>
      <c r="D22" s="65"/>
      <c r="E22" s="65"/>
      <c r="F22" s="32"/>
      <c r="G22" s="66"/>
    </row>
    <row r="23" spans="1:79" s="71" customFormat="1" ht="12.75">
      <c r="A23" s="42"/>
      <c r="B23" s="42"/>
      <c r="C23" s="35" t="s">
        <v>124</v>
      </c>
      <c r="D23" s="35"/>
      <c r="E23" s="35"/>
      <c r="F23" s="36">
        <f>F21+F15+F8</f>
        <v>1400.629246447364</v>
      </c>
      <c r="G23" s="36">
        <f>G21+G15+G8</f>
        <v>1.367801998483754</v>
      </c>
      <c r="H23" s="129">
        <f>H21+H15+H8</f>
        <v>0.064546875</v>
      </c>
      <c r="I23" s="137">
        <f>I21+I15+I8</f>
        <v>0.60353515625</v>
      </c>
      <c r="J23" s="36">
        <f>J21+J15+J8</f>
        <v>0</v>
      </c>
      <c r="K23" s="34"/>
      <c r="L23" s="3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12" ht="12.75">
      <c r="A24" s="3"/>
      <c r="B24" s="3"/>
      <c r="C24" s="3"/>
      <c r="D24" s="3"/>
      <c r="E24" s="3"/>
      <c r="F24" s="23"/>
      <c r="G24" s="23"/>
      <c r="H24" s="24"/>
      <c r="I24" s="25"/>
      <c r="J24" s="72"/>
      <c r="K24" s="73"/>
      <c r="L24" s="73"/>
    </row>
    <row r="25" spans="1:12" ht="12.75">
      <c r="A25" s="50" t="s">
        <v>154</v>
      </c>
      <c r="B25" s="50" t="s">
        <v>155</v>
      </c>
      <c r="C25" s="51" t="s">
        <v>105</v>
      </c>
      <c r="D25" s="51">
        <v>167</v>
      </c>
      <c r="E25" s="51">
        <v>167</v>
      </c>
      <c r="F25" s="180">
        <f>(2446298.74193548/1024/1024)*D25</f>
        <v>389.6063708336116</v>
      </c>
      <c r="G25" s="52">
        <f aca="true" t="shared" si="1" ref="G25:G35">F25/1024</f>
        <v>0.38047497151719883</v>
      </c>
      <c r="H25" s="15"/>
      <c r="I25" s="9"/>
      <c r="J25" s="57"/>
      <c r="K25" s="51" t="s">
        <v>304</v>
      </c>
      <c r="L25" s="51" t="s">
        <v>156</v>
      </c>
    </row>
    <row r="26" spans="1:12" ht="12.75">
      <c r="A26" s="50" t="s">
        <v>154</v>
      </c>
      <c r="B26" s="50" t="s">
        <v>157</v>
      </c>
      <c r="C26" s="51" t="s">
        <v>105</v>
      </c>
      <c r="D26" s="51">
        <v>297</v>
      </c>
      <c r="E26" s="51">
        <v>297</v>
      </c>
      <c r="F26" s="180">
        <f>(21574.1516245487/1024/1024)*D26</f>
        <v>6.110690147868122</v>
      </c>
      <c r="G26" s="52">
        <f t="shared" si="1"/>
        <v>0.005967470847527463</v>
      </c>
      <c r="H26" s="15"/>
      <c r="I26" s="9"/>
      <c r="J26" s="57"/>
      <c r="K26" s="51" t="s">
        <v>304</v>
      </c>
      <c r="L26" s="51" t="s">
        <v>156</v>
      </c>
    </row>
    <row r="27" spans="1:12" ht="12.75">
      <c r="A27" s="50" t="s">
        <v>154</v>
      </c>
      <c r="B27" s="50" t="s">
        <v>158</v>
      </c>
      <c r="C27" s="51" t="s">
        <v>105</v>
      </c>
      <c r="D27" s="51">
        <v>167</v>
      </c>
      <c r="E27" s="51">
        <v>167</v>
      </c>
      <c r="F27" s="180">
        <f>(36588.3677419354/1024/1024)*D27</f>
        <v>5.827195561316692</v>
      </c>
      <c r="G27" s="52">
        <f t="shared" si="1"/>
        <v>0.005690620665348332</v>
      </c>
      <c r="H27" s="15"/>
      <c r="I27" s="9"/>
      <c r="J27" s="57"/>
      <c r="K27" s="51" t="s">
        <v>304</v>
      </c>
      <c r="L27" s="51" t="s">
        <v>156</v>
      </c>
    </row>
    <row r="28" spans="1:12" ht="12.75">
      <c r="A28" s="50" t="s">
        <v>154</v>
      </c>
      <c r="B28" s="50" t="s">
        <v>159</v>
      </c>
      <c r="C28" s="51" t="s">
        <v>105</v>
      </c>
      <c r="D28" s="51">
        <v>297</v>
      </c>
      <c r="E28" s="51">
        <v>297</v>
      </c>
      <c r="F28" s="180">
        <f>(9048917.07070707/1024/1024)*D28</f>
        <v>2563.026781082153</v>
      </c>
      <c r="G28" s="52">
        <f t="shared" si="1"/>
        <v>2.50295584090054</v>
      </c>
      <c r="H28" s="15"/>
      <c r="I28" s="9"/>
      <c r="J28" s="53"/>
      <c r="K28" s="51" t="s">
        <v>304</v>
      </c>
      <c r="L28" s="51" t="s">
        <v>156</v>
      </c>
    </row>
    <row r="29" spans="1:12" ht="12.75">
      <c r="A29" s="50" t="s">
        <v>154</v>
      </c>
      <c r="B29" s="50" t="s">
        <v>160</v>
      </c>
      <c r="C29" s="51" t="s">
        <v>105</v>
      </c>
      <c r="D29" s="51">
        <v>297</v>
      </c>
      <c r="E29" s="51">
        <v>297</v>
      </c>
      <c r="F29" s="180">
        <f>(8641089.56228956/1024/1024)*D29</f>
        <v>2447.5131988525386</v>
      </c>
      <c r="G29" s="52">
        <f t="shared" si="1"/>
        <v>2.3901496082544322</v>
      </c>
      <c r="H29" s="15"/>
      <c r="I29" s="9"/>
      <c r="J29" s="53"/>
      <c r="K29" s="51" t="s">
        <v>304</v>
      </c>
      <c r="L29" s="51" t="s">
        <v>156</v>
      </c>
    </row>
    <row r="30" spans="1:12" ht="12.75">
      <c r="A30" s="50" t="s">
        <v>154</v>
      </c>
      <c r="B30" s="95" t="s">
        <v>161</v>
      </c>
      <c r="C30" s="51" t="s">
        <v>105</v>
      </c>
      <c r="D30" s="51">
        <v>167</v>
      </c>
      <c r="E30" s="51">
        <v>167</v>
      </c>
      <c r="F30" s="180">
        <f>(332349814.445161/1024/1024)*D30</f>
        <v>52931.2315104884</v>
      </c>
      <c r="G30" s="52">
        <f t="shared" si="1"/>
        <v>51.690655771961325</v>
      </c>
      <c r="H30" s="15"/>
      <c r="I30" s="9"/>
      <c r="J30" s="53"/>
      <c r="K30" s="51" t="s">
        <v>304</v>
      </c>
      <c r="L30" s="51" t="s">
        <v>156</v>
      </c>
    </row>
    <row r="31" spans="1:12" ht="12.75">
      <c r="A31" s="50" t="s">
        <v>154</v>
      </c>
      <c r="B31" s="50" t="s">
        <v>327</v>
      </c>
      <c r="C31" s="51" t="s">
        <v>105</v>
      </c>
      <c r="D31" s="51">
        <v>297</v>
      </c>
      <c r="E31" s="51">
        <v>297</v>
      </c>
      <c r="F31" s="180">
        <f>(6770123.3097643/1024/1024)*D31</f>
        <v>1917.5783376693696</v>
      </c>
      <c r="G31" s="52">
        <f t="shared" si="1"/>
        <v>1.8726350953802438</v>
      </c>
      <c r="H31" s="15"/>
      <c r="I31" s="9"/>
      <c r="J31" s="53"/>
      <c r="K31" s="51" t="s">
        <v>304</v>
      </c>
      <c r="L31" s="51" t="s">
        <v>156</v>
      </c>
    </row>
    <row r="32" spans="1:12" ht="12.75">
      <c r="A32" s="50" t="s">
        <v>154</v>
      </c>
      <c r="B32" s="50" t="s">
        <v>94</v>
      </c>
      <c r="C32" s="51" t="s">
        <v>95</v>
      </c>
      <c r="D32" s="51">
        <v>15</v>
      </c>
      <c r="E32" s="51">
        <v>15</v>
      </c>
      <c r="F32" s="180">
        <f>(203104193.533333/1024/1024)*D32</f>
        <v>2905.428793907161</v>
      </c>
      <c r="G32" s="52">
        <f t="shared" si="1"/>
        <v>2.837332806549962</v>
      </c>
      <c r="H32" s="15"/>
      <c r="I32" s="9"/>
      <c r="J32" s="53"/>
      <c r="K32" s="51" t="s">
        <v>304</v>
      </c>
      <c r="L32" s="51" t="s">
        <v>156</v>
      </c>
    </row>
    <row r="33" spans="1:12" ht="12.75">
      <c r="A33" s="67" t="s">
        <v>154</v>
      </c>
      <c r="B33" s="67" t="s">
        <v>96</v>
      </c>
      <c r="C33" s="68" t="s">
        <v>95</v>
      </c>
      <c r="D33" s="68">
        <v>15</v>
      </c>
      <c r="E33" s="68">
        <v>15</v>
      </c>
      <c r="F33" s="186">
        <f>(203104427/1024/1024)*D33</f>
        <v>2905.4321336746216</v>
      </c>
      <c r="G33" s="69">
        <f t="shared" si="1"/>
        <v>2.8373360680416226</v>
      </c>
      <c r="H33" s="21"/>
      <c r="I33" s="22"/>
      <c r="J33" s="70"/>
      <c r="K33" s="68" t="s">
        <v>304</v>
      </c>
      <c r="L33" s="68" t="s">
        <v>156</v>
      </c>
    </row>
    <row r="34" spans="1:79" s="176" customFormat="1" ht="12.75">
      <c r="A34" s="50" t="s">
        <v>154</v>
      </c>
      <c r="B34" s="50" t="s">
        <v>97</v>
      </c>
      <c r="C34" s="51" t="s">
        <v>95</v>
      </c>
      <c r="D34" s="51">
        <v>15</v>
      </c>
      <c r="E34" s="51">
        <v>15</v>
      </c>
      <c r="F34" s="180">
        <f>(203105787.6/1024/1024)*D34</f>
        <v>2905.451597213745</v>
      </c>
      <c r="G34" s="52">
        <f t="shared" si="1"/>
        <v>2.837355075404048</v>
      </c>
      <c r="H34" s="15"/>
      <c r="I34" s="9"/>
      <c r="J34" s="53"/>
      <c r="K34" s="51" t="s">
        <v>304</v>
      </c>
      <c r="L34" s="51" t="s">
        <v>156</v>
      </c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</row>
    <row r="35" spans="1:12" ht="13.5" thickBot="1">
      <c r="A35" s="171" t="s">
        <v>154</v>
      </c>
      <c r="B35" s="171" t="s">
        <v>176</v>
      </c>
      <c r="C35" s="170" t="s">
        <v>105</v>
      </c>
      <c r="D35" s="170">
        <v>200</v>
      </c>
      <c r="E35" s="170">
        <v>200</v>
      </c>
      <c r="F35" s="187">
        <f>(611920.365/1024/1024)*D35</f>
        <v>116.7145471572876</v>
      </c>
      <c r="G35" s="89">
        <f t="shared" si="1"/>
        <v>0.11397904995828867</v>
      </c>
      <c r="H35" s="172"/>
      <c r="I35" s="173"/>
      <c r="J35" s="174"/>
      <c r="K35" s="170" t="s">
        <v>304</v>
      </c>
      <c r="L35" s="170" t="s">
        <v>156</v>
      </c>
    </row>
    <row r="36" spans="1:10" ht="12.75">
      <c r="A36" s="62"/>
      <c r="B36" s="62"/>
      <c r="C36" s="65" t="s">
        <v>309</v>
      </c>
      <c r="D36" s="65"/>
      <c r="E36" s="65"/>
      <c r="F36" s="32">
        <f>SUM(F30:F35)</f>
        <v>63681.83692011058</v>
      </c>
      <c r="G36" s="32">
        <f>SUM(G25:G35)</f>
        <v>67.47453237948054</v>
      </c>
      <c r="J36" s="63">
        <f>SUM(J25:J35)</f>
        <v>0</v>
      </c>
    </row>
    <row r="37" spans="1:7" ht="12.75">
      <c r="A37" s="62"/>
      <c r="B37" s="62"/>
      <c r="C37" s="65"/>
      <c r="D37" s="65"/>
      <c r="E37" s="65"/>
      <c r="F37" s="32"/>
      <c r="G37" s="32"/>
    </row>
    <row r="38" spans="1:79" s="37" customFormat="1" ht="12.75">
      <c r="A38" s="35"/>
      <c r="B38" s="35"/>
      <c r="C38" s="35" t="s">
        <v>125</v>
      </c>
      <c r="D38" s="35"/>
      <c r="E38" s="35"/>
      <c r="F38" s="36">
        <f>F36</f>
        <v>63681.83692011058</v>
      </c>
      <c r="G38" s="36">
        <f>G36</f>
        <v>67.47453237948054</v>
      </c>
      <c r="H38" s="129">
        <f>H36</f>
        <v>0</v>
      </c>
      <c r="I38" s="137">
        <f>I36</f>
        <v>0</v>
      </c>
      <c r="J38" s="36">
        <f>J36</f>
        <v>0</v>
      </c>
      <c r="K38" s="35"/>
      <c r="L38" s="3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12" ht="12.75">
      <c r="A39" s="3"/>
      <c r="B39" s="3"/>
      <c r="C39" s="3"/>
      <c r="D39" s="3"/>
      <c r="E39" s="3"/>
      <c r="F39" s="23"/>
      <c r="G39" s="23"/>
      <c r="H39" s="24"/>
      <c r="I39" s="25"/>
      <c r="J39" s="72"/>
      <c r="K39" s="73"/>
      <c r="L39" s="73"/>
    </row>
    <row r="40" spans="1:12" ht="12.75">
      <c r="A40" s="50" t="s">
        <v>98</v>
      </c>
      <c r="B40" s="95" t="s">
        <v>99</v>
      </c>
      <c r="C40" s="51" t="s">
        <v>100</v>
      </c>
      <c r="D40" s="51">
        <v>359</v>
      </c>
      <c r="E40" s="51">
        <v>359</v>
      </c>
      <c r="F40" s="180">
        <f>(10605834.9359331/1024/1024)*D40</f>
        <v>3631.109945297225</v>
      </c>
      <c r="G40" s="52">
        <f aca="true" t="shared" si="2" ref="G40:G45">F40/1024</f>
        <v>3.546005805954321</v>
      </c>
      <c r="H40" s="15"/>
      <c r="I40" s="9"/>
      <c r="J40" s="38"/>
      <c r="K40" s="51" t="s">
        <v>304</v>
      </c>
      <c r="L40" s="51" t="s">
        <v>337</v>
      </c>
    </row>
    <row r="41" spans="1:12" ht="12.75">
      <c r="A41" s="50" t="s">
        <v>98</v>
      </c>
      <c r="B41" s="95" t="s">
        <v>109</v>
      </c>
      <c r="C41" s="51" t="s">
        <v>100</v>
      </c>
      <c r="D41" s="51">
        <v>357</v>
      </c>
      <c r="E41" s="51">
        <v>357</v>
      </c>
      <c r="F41" s="180">
        <f>(9193603.22881355/1024/1024)*D41</f>
        <v>3130.0700690140125</v>
      </c>
      <c r="G41" s="52">
        <f t="shared" si="2"/>
        <v>3.0567090517714965</v>
      </c>
      <c r="H41" s="15"/>
      <c r="I41" s="9"/>
      <c r="J41" s="38"/>
      <c r="K41" s="51" t="s">
        <v>304</v>
      </c>
      <c r="L41" s="51" t="s">
        <v>337</v>
      </c>
    </row>
    <row r="42" spans="1:12" ht="12.75">
      <c r="A42" s="50" t="s">
        <v>98</v>
      </c>
      <c r="B42" s="95" t="s">
        <v>113</v>
      </c>
      <c r="C42" s="51" t="s">
        <v>100</v>
      </c>
      <c r="D42" s="51">
        <v>359</v>
      </c>
      <c r="E42" s="51">
        <v>359</v>
      </c>
      <c r="F42" s="180">
        <f>(3736623.32033426/1024/1024)*D42</f>
        <v>1279.3042869567864</v>
      </c>
      <c r="G42" s="52">
        <f t="shared" si="2"/>
        <v>1.2493205927312367</v>
      </c>
      <c r="H42" s="15"/>
      <c r="I42" s="9"/>
      <c r="J42" s="38"/>
      <c r="K42" s="51" t="s">
        <v>304</v>
      </c>
      <c r="L42" s="51" t="s">
        <v>337</v>
      </c>
    </row>
    <row r="43" spans="1:12" ht="12.75">
      <c r="A43" s="50" t="s">
        <v>98</v>
      </c>
      <c r="B43" s="95" t="s">
        <v>114</v>
      </c>
      <c r="C43" s="51" t="s">
        <v>100</v>
      </c>
      <c r="D43" s="51">
        <v>357</v>
      </c>
      <c r="E43" s="51">
        <v>357</v>
      </c>
      <c r="F43" s="180">
        <f>(3159169.44257703/1024/1024)*D43</f>
        <v>1075.5762968063352</v>
      </c>
      <c r="G43" s="52">
        <f t="shared" si="2"/>
        <v>1.0503674773499367</v>
      </c>
      <c r="H43" s="15"/>
      <c r="I43" s="9"/>
      <c r="J43" s="38"/>
      <c r="K43" s="51" t="s">
        <v>304</v>
      </c>
      <c r="L43" s="51" t="s">
        <v>337</v>
      </c>
    </row>
    <row r="44" spans="1:12" ht="12.75">
      <c r="A44" s="50" t="s">
        <v>98</v>
      </c>
      <c r="B44" s="95" t="s">
        <v>115</v>
      </c>
      <c r="C44" s="51" t="s">
        <v>100</v>
      </c>
      <c r="D44" s="51">
        <v>331</v>
      </c>
      <c r="E44" s="51">
        <v>331</v>
      </c>
      <c r="F44" s="180">
        <f>(17060643.9456193/1024/1024)*D44</f>
        <v>5385.468622207631</v>
      </c>
      <c r="G44" s="52">
        <f t="shared" si="2"/>
        <v>5.259246701374639</v>
      </c>
      <c r="H44" s="15"/>
      <c r="I44" s="9"/>
      <c r="J44" s="38"/>
      <c r="K44" s="51" t="s">
        <v>304</v>
      </c>
      <c r="L44" s="51" t="s">
        <v>337</v>
      </c>
    </row>
    <row r="45" spans="1:12" ht="13.5" thickBot="1">
      <c r="A45" s="58" t="s">
        <v>98</v>
      </c>
      <c r="B45" s="96" t="s">
        <v>48</v>
      </c>
      <c r="C45" s="59" t="s">
        <v>100</v>
      </c>
      <c r="D45" s="59">
        <v>296</v>
      </c>
      <c r="E45" s="59">
        <v>296</v>
      </c>
      <c r="F45" s="185">
        <f>(54308084.0544217/1024/1024)*D45</f>
        <v>15330.4985810364</v>
      </c>
      <c r="G45" s="60">
        <f t="shared" si="2"/>
        <v>14.971190020543359</v>
      </c>
      <c r="H45" s="18"/>
      <c r="I45" s="10"/>
      <c r="J45" s="39"/>
      <c r="K45" s="59" t="s">
        <v>304</v>
      </c>
      <c r="L45" s="59" t="s">
        <v>337</v>
      </c>
    </row>
    <row r="46" spans="1:7" ht="12.75">
      <c r="A46" s="62"/>
      <c r="B46" s="62"/>
      <c r="C46" s="65" t="s">
        <v>309</v>
      </c>
      <c r="D46" s="65"/>
      <c r="E46" s="65"/>
      <c r="F46" s="32">
        <f>SUM(F40:F45)</f>
        <v>29832.02780131839</v>
      </c>
      <c r="G46" s="74">
        <f>F46/1024</f>
        <v>29.13283964972499</v>
      </c>
    </row>
    <row r="48" spans="1:12" ht="12.75">
      <c r="A48" s="50" t="s">
        <v>49</v>
      </c>
      <c r="B48" s="50" t="s">
        <v>315</v>
      </c>
      <c r="C48" s="51" t="s">
        <v>100</v>
      </c>
      <c r="D48" s="51">
        <v>330</v>
      </c>
      <c r="E48" s="51">
        <v>330</v>
      </c>
      <c r="F48" s="180">
        <f>(25403.73556231/1024/1024)*D48</f>
        <v>7.994873748361874</v>
      </c>
      <c r="G48" s="52">
        <f aca="true" t="shared" si="3" ref="G48:G58">F48/1024</f>
        <v>0.0078074938948846425</v>
      </c>
      <c r="H48" s="15">
        <f>G48</f>
        <v>0.0078074938948846425</v>
      </c>
      <c r="I48" s="9"/>
      <c r="J48" s="38"/>
      <c r="K48" s="51" t="s">
        <v>304</v>
      </c>
      <c r="L48" s="51" t="s">
        <v>337</v>
      </c>
    </row>
    <row r="49" spans="1:12" ht="12.75">
      <c r="A49" s="50" t="s">
        <v>49</v>
      </c>
      <c r="B49" s="50" t="s">
        <v>50</v>
      </c>
      <c r="C49" s="51" t="s">
        <v>100</v>
      </c>
      <c r="D49" s="51">
        <v>330</v>
      </c>
      <c r="E49" s="51">
        <v>330</v>
      </c>
      <c r="F49" s="180">
        <f>(23830.73556231/1024/1024)*D49</f>
        <v>7.499830947458554</v>
      </c>
      <c r="G49" s="52">
        <f t="shared" si="3"/>
        <v>0.007324053659627494</v>
      </c>
      <c r="H49" s="15"/>
      <c r="I49" s="9"/>
      <c r="J49" s="38"/>
      <c r="K49" s="51" t="s">
        <v>304</v>
      </c>
      <c r="L49" s="51" t="s">
        <v>337</v>
      </c>
    </row>
    <row r="50" spans="1:12" ht="12.75">
      <c r="A50" s="50" t="s">
        <v>49</v>
      </c>
      <c r="B50" s="95" t="s">
        <v>51</v>
      </c>
      <c r="C50" s="51" t="s">
        <v>100</v>
      </c>
      <c r="D50" s="51">
        <v>330</v>
      </c>
      <c r="E50" s="51">
        <v>330</v>
      </c>
      <c r="F50" s="180">
        <f>(84938193.8085106/1024/1024)*D50</f>
        <v>26731.113392647265</v>
      </c>
      <c r="G50" s="52">
        <f t="shared" si="3"/>
        <v>26.104602922507095</v>
      </c>
      <c r="H50" s="15">
        <f>G50</f>
        <v>26.104602922507095</v>
      </c>
      <c r="I50" s="9"/>
      <c r="J50" s="38"/>
      <c r="K50" s="51" t="s">
        <v>304</v>
      </c>
      <c r="L50" s="51" t="s">
        <v>337</v>
      </c>
    </row>
    <row r="51" spans="1:12" ht="12.75">
      <c r="A51" s="50" t="s">
        <v>49</v>
      </c>
      <c r="B51" s="95" t="s">
        <v>291</v>
      </c>
      <c r="C51" s="51" t="s">
        <v>100</v>
      </c>
      <c r="D51" s="51">
        <v>330</v>
      </c>
      <c r="E51" s="51">
        <v>330</v>
      </c>
      <c r="F51" s="180">
        <f>(87389897.8489425/1024/1024)*D51</f>
        <v>27502.695360327747</v>
      </c>
      <c r="G51" s="52">
        <f t="shared" si="3"/>
        <v>26.858100937820065</v>
      </c>
      <c r="H51" s="15"/>
      <c r="I51" s="9"/>
      <c r="J51" s="38"/>
      <c r="K51" s="51" t="s">
        <v>304</v>
      </c>
      <c r="L51" s="51" t="s">
        <v>337</v>
      </c>
    </row>
    <row r="52" spans="1:12" ht="12.75">
      <c r="A52" s="50" t="s">
        <v>49</v>
      </c>
      <c r="B52" s="95" t="s">
        <v>292</v>
      </c>
      <c r="C52" s="51" t="s">
        <v>100</v>
      </c>
      <c r="D52" s="51">
        <v>295</v>
      </c>
      <c r="E52" s="51">
        <v>295</v>
      </c>
      <c r="F52" s="180">
        <f>(83229565.7244897/1024/1024)*D52</f>
        <v>23415.300263142075</v>
      </c>
      <c r="G52" s="52">
        <f t="shared" si="3"/>
        <v>22.866504163224683</v>
      </c>
      <c r="H52" s="15">
        <f>G52</f>
        <v>22.866504163224683</v>
      </c>
      <c r="I52" s="9"/>
      <c r="J52" s="38"/>
      <c r="K52" s="51" t="s">
        <v>304</v>
      </c>
      <c r="L52" s="51" t="s">
        <v>337</v>
      </c>
    </row>
    <row r="53" spans="1:12" ht="12.75">
      <c r="A53" s="50" t="s">
        <v>49</v>
      </c>
      <c r="B53" s="95" t="s">
        <v>240</v>
      </c>
      <c r="C53" s="51" t="s">
        <v>100</v>
      </c>
      <c r="D53" s="51">
        <v>295</v>
      </c>
      <c r="E53" s="51">
        <v>295</v>
      </c>
      <c r="F53" s="180">
        <f>(109875111.554421/1024/1024)*D53</f>
        <v>30911.596211008255</v>
      </c>
      <c r="G53" s="52">
        <f t="shared" si="3"/>
        <v>30.18710567481275</v>
      </c>
      <c r="H53" s="15"/>
      <c r="I53" s="9"/>
      <c r="J53" s="38"/>
      <c r="K53" s="51" t="s">
        <v>304</v>
      </c>
      <c r="L53" s="51" t="s">
        <v>337</v>
      </c>
    </row>
    <row r="54" spans="1:12" ht="12.75">
      <c r="A54" s="50" t="s">
        <v>49</v>
      </c>
      <c r="B54" s="95" t="s">
        <v>241</v>
      </c>
      <c r="C54" s="51" t="s">
        <v>100</v>
      </c>
      <c r="D54" s="51">
        <v>330</v>
      </c>
      <c r="E54" s="51">
        <v>330</v>
      </c>
      <c r="F54" s="180">
        <f>(27711042.0513595/1024/1024)*D54</f>
        <v>8721.01199812759</v>
      </c>
      <c r="G54" s="52">
        <f t="shared" si="3"/>
        <v>8.516613279421474</v>
      </c>
      <c r="H54" s="15"/>
      <c r="I54" s="9"/>
      <c r="J54" s="38"/>
      <c r="K54" s="51" t="s">
        <v>304</v>
      </c>
      <c r="L54" s="51" t="s">
        <v>337</v>
      </c>
    </row>
    <row r="55" spans="1:12" ht="12.75">
      <c r="A55" s="50" t="s">
        <v>49</v>
      </c>
      <c r="B55" s="95" t="s">
        <v>242</v>
      </c>
      <c r="C55" s="51" t="s">
        <v>100</v>
      </c>
      <c r="D55" s="51">
        <v>330</v>
      </c>
      <c r="E55" s="51">
        <v>330</v>
      </c>
      <c r="F55" s="180">
        <f>(2063830.6231003/1024/1024)*D55</f>
        <v>649.513345358943</v>
      </c>
      <c r="G55" s="52">
        <f t="shared" si="3"/>
        <v>0.6342903763270927</v>
      </c>
      <c r="H55" s="15"/>
      <c r="I55" s="9"/>
      <c r="J55" s="38"/>
      <c r="K55" s="51" t="s">
        <v>304</v>
      </c>
      <c r="L55" s="51" t="s">
        <v>337</v>
      </c>
    </row>
    <row r="56" spans="1:12" ht="12.75">
      <c r="A56" s="50" t="s">
        <v>49</v>
      </c>
      <c r="B56" s="95" t="s">
        <v>178</v>
      </c>
      <c r="C56" s="51" t="s">
        <v>100</v>
      </c>
      <c r="D56" s="51">
        <v>328</v>
      </c>
      <c r="E56" s="51">
        <v>328</v>
      </c>
      <c r="F56" s="180">
        <f>(1996056.60429447/1024/1024)*D56</f>
        <v>624.3768369756567</v>
      </c>
      <c r="G56" s="52">
        <f t="shared" si="3"/>
        <v>0.6097430048590398</v>
      </c>
      <c r="H56" s="15"/>
      <c r="I56" s="9"/>
      <c r="J56" s="38"/>
      <c r="K56" s="51" t="s">
        <v>304</v>
      </c>
      <c r="L56" s="51" t="s">
        <v>337</v>
      </c>
    </row>
    <row r="57" spans="1:12" ht="12.75">
      <c r="A57" s="50" t="s">
        <v>49</v>
      </c>
      <c r="B57" s="95" t="s">
        <v>179</v>
      </c>
      <c r="C57" s="51" t="s">
        <v>100</v>
      </c>
      <c r="D57" s="68">
        <v>330</v>
      </c>
      <c r="E57" s="68">
        <v>330</v>
      </c>
      <c r="F57" s="186">
        <f>(12103806.4954407/1024/1024)*D57</f>
        <v>3809.2194971994695</v>
      </c>
      <c r="G57" s="52">
        <f t="shared" si="3"/>
        <v>3.719940915233857</v>
      </c>
      <c r="H57" s="15"/>
      <c r="I57" s="9"/>
      <c r="J57" s="38"/>
      <c r="K57" s="51" t="s">
        <v>304</v>
      </c>
      <c r="L57" s="51" t="s">
        <v>337</v>
      </c>
    </row>
    <row r="58" spans="1:78" s="71" customFormat="1" ht="13.5" thickBot="1">
      <c r="A58" s="109" t="s">
        <v>49</v>
      </c>
      <c r="B58" s="96" t="s">
        <v>303</v>
      </c>
      <c r="C58" s="111" t="s">
        <v>100</v>
      </c>
      <c r="D58" s="111" t="s">
        <v>237</v>
      </c>
      <c r="E58" s="111" t="s">
        <v>237</v>
      </c>
      <c r="F58" s="185">
        <f>(12048931.7371601/1024/1024)*328</f>
        <v>3768.968210018647</v>
      </c>
      <c r="G58" s="110">
        <f t="shared" si="3"/>
        <v>3.680633017596335</v>
      </c>
      <c r="H58" s="18"/>
      <c r="I58" s="10"/>
      <c r="J58" s="39"/>
      <c r="K58" s="111" t="s">
        <v>304</v>
      </c>
      <c r="L58" s="111" t="s">
        <v>337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10" ht="12.75">
      <c r="A59" s="62"/>
      <c r="B59" s="62"/>
      <c r="C59" s="65" t="s">
        <v>309</v>
      </c>
      <c r="D59" s="65"/>
      <c r="E59" s="65"/>
      <c r="F59" s="32">
        <f>SUM(F48:F57)</f>
        <v>122380.32160948284</v>
      </c>
      <c r="G59" s="66">
        <f>SUM(G48:G58)</f>
        <v>123.19266583935692</v>
      </c>
      <c r="H59" s="19">
        <f>SUM(H48:H58)</f>
        <v>48.97891457962666</v>
      </c>
      <c r="J59" s="63">
        <f>SUM(J48:J58)</f>
        <v>0</v>
      </c>
    </row>
    <row r="60" spans="1:2" ht="12.75">
      <c r="A60" s="62"/>
      <c r="B60" s="62"/>
    </row>
    <row r="61" spans="1:12" ht="13.5" thickBot="1">
      <c r="A61" s="58" t="s">
        <v>180</v>
      </c>
      <c r="B61" s="96" t="s">
        <v>181</v>
      </c>
      <c r="C61" s="59" t="s">
        <v>100</v>
      </c>
      <c r="D61" s="59">
        <v>320</v>
      </c>
      <c r="E61" s="59">
        <v>320</v>
      </c>
      <c r="F61" s="185">
        <f>(7437750.74143302/1024/1024)*D61</f>
        <v>2269.8213932595886</v>
      </c>
      <c r="G61" s="60">
        <f>F61/1024</f>
        <v>2.216622454355067</v>
      </c>
      <c r="H61" s="18"/>
      <c r="I61" s="10"/>
      <c r="J61" s="61"/>
      <c r="K61" s="59" t="s">
        <v>304</v>
      </c>
      <c r="L61" s="59" t="s">
        <v>337</v>
      </c>
    </row>
    <row r="62" spans="1:7" ht="12.75">
      <c r="A62" s="62"/>
      <c r="B62" s="62"/>
      <c r="C62" s="65" t="s">
        <v>309</v>
      </c>
      <c r="D62" s="65"/>
      <c r="E62" s="65"/>
      <c r="F62" s="32">
        <f>F61</f>
        <v>2269.8213932595886</v>
      </c>
      <c r="G62" s="32">
        <f>F62/1024</f>
        <v>2.216622454355067</v>
      </c>
    </row>
    <row r="64" spans="1:12" ht="12.75">
      <c r="A64" s="50" t="s">
        <v>182</v>
      </c>
      <c r="B64" s="95" t="s">
        <v>183</v>
      </c>
      <c r="C64" s="51" t="s">
        <v>100</v>
      </c>
      <c r="D64" s="51">
        <v>323</v>
      </c>
      <c r="E64" s="51">
        <v>323</v>
      </c>
      <c r="F64" s="180">
        <f>(32733064.5514018/1024/1024)*D64</f>
        <v>10082.988596060544</v>
      </c>
      <c r="G64" s="52">
        <f>F64/1024</f>
        <v>9.846668550840375</v>
      </c>
      <c r="H64" s="15"/>
      <c r="I64" s="9"/>
      <c r="J64" s="53"/>
      <c r="K64" s="51" t="s">
        <v>304</v>
      </c>
      <c r="L64" s="51" t="s">
        <v>337</v>
      </c>
    </row>
    <row r="65" spans="1:12" ht="13.5" thickBot="1">
      <c r="A65" s="58" t="s">
        <v>182</v>
      </c>
      <c r="B65" s="96" t="s">
        <v>184</v>
      </c>
      <c r="C65" s="59" t="s">
        <v>100</v>
      </c>
      <c r="D65" s="59">
        <v>323</v>
      </c>
      <c r="E65" s="59">
        <v>323</v>
      </c>
      <c r="F65" s="185">
        <f>(2468202.52024922/1024/1024)*D65</f>
        <v>760.2972164540273</v>
      </c>
      <c r="G65" s="60">
        <f>F65/1024</f>
        <v>0.742477750443386</v>
      </c>
      <c r="H65" s="18"/>
      <c r="I65" s="10"/>
      <c r="J65" s="61"/>
      <c r="K65" s="59" t="s">
        <v>304</v>
      </c>
      <c r="L65" s="59" t="s">
        <v>337</v>
      </c>
    </row>
    <row r="66" spans="1:7" ht="12.75">
      <c r="A66" s="62"/>
      <c r="B66" s="62"/>
      <c r="C66" s="65" t="s">
        <v>309</v>
      </c>
      <c r="D66" s="65"/>
      <c r="E66" s="65"/>
      <c r="F66" s="32">
        <f>SUM(F64:F65)</f>
        <v>10843.285812514572</v>
      </c>
      <c r="G66" s="32">
        <f>F66/1024</f>
        <v>10.589146301283762</v>
      </c>
    </row>
    <row r="68" spans="1:12" ht="12.75">
      <c r="A68" s="1" t="s">
        <v>185</v>
      </c>
      <c r="B68" s="97" t="s">
        <v>186</v>
      </c>
      <c r="C68" s="2" t="s">
        <v>100</v>
      </c>
      <c r="D68" s="2">
        <v>286</v>
      </c>
      <c r="E68" s="2">
        <v>286</v>
      </c>
      <c r="F68" s="26">
        <f>(1136000.88380281/1024/1024)*D68</f>
        <v>309.8452117610966</v>
      </c>
      <c r="G68" s="52">
        <f>F68/1024</f>
        <v>0.3025832146104459</v>
      </c>
      <c r="H68" s="15"/>
      <c r="I68" s="9"/>
      <c r="J68" s="53"/>
      <c r="K68" s="51" t="s">
        <v>304</v>
      </c>
      <c r="L68" s="51" t="s">
        <v>337</v>
      </c>
    </row>
    <row r="69" spans="1:12" ht="13.5" thickBot="1">
      <c r="A69" s="7" t="s">
        <v>185</v>
      </c>
      <c r="B69" s="98" t="s">
        <v>187</v>
      </c>
      <c r="C69" s="6" t="s">
        <v>100</v>
      </c>
      <c r="D69" s="6">
        <v>286</v>
      </c>
      <c r="E69" s="6">
        <v>286</v>
      </c>
      <c r="F69" s="27">
        <f>(124184.073943661/1024/1024)*D69</f>
        <v>33.87131228245453</v>
      </c>
      <c r="G69" s="60">
        <f>F69/1024</f>
        <v>0.033077453400834504</v>
      </c>
      <c r="H69" s="18"/>
      <c r="I69" s="10"/>
      <c r="J69" s="61"/>
      <c r="K69" s="59" t="s">
        <v>304</v>
      </c>
      <c r="L69" s="59" t="s">
        <v>337</v>
      </c>
    </row>
    <row r="70" spans="1:7" ht="12.75">
      <c r="A70" s="62"/>
      <c r="B70" s="62"/>
      <c r="C70" s="65" t="s">
        <v>309</v>
      </c>
      <c r="D70" s="65"/>
      <c r="E70" s="65"/>
      <c r="F70" s="32">
        <f>SUM(F68:F69)</f>
        <v>343.71652404355115</v>
      </c>
      <c r="G70" s="32">
        <f>F70/1024</f>
        <v>0.3356606680112804</v>
      </c>
    </row>
    <row r="72" spans="1:12" ht="12.75">
      <c r="A72" s="50" t="s">
        <v>188</v>
      </c>
      <c r="B72" s="50" t="s">
        <v>189</v>
      </c>
      <c r="C72" s="51" t="s">
        <v>100</v>
      </c>
      <c r="D72" s="51">
        <v>314</v>
      </c>
      <c r="E72" s="51">
        <v>314</v>
      </c>
      <c r="F72" s="180">
        <f>(17534.2579617834/1024/1024)*D72</f>
        <v>5.250699043273914</v>
      </c>
      <c r="G72" s="52">
        <f>F72/1024</f>
        <v>0.005127635784447182</v>
      </c>
      <c r="H72" s="15"/>
      <c r="I72" s="9"/>
      <c r="J72" s="38"/>
      <c r="K72" s="51" t="s">
        <v>304</v>
      </c>
      <c r="L72" s="51" t="s">
        <v>337</v>
      </c>
    </row>
    <row r="73" spans="1:12" ht="12.75">
      <c r="A73" s="50" t="s">
        <v>188</v>
      </c>
      <c r="B73" s="95" t="s">
        <v>190</v>
      </c>
      <c r="C73" s="51" t="s">
        <v>100</v>
      </c>
      <c r="D73" s="51">
        <v>314</v>
      </c>
      <c r="E73" s="51">
        <v>314</v>
      </c>
      <c r="F73" s="180">
        <f>(638008.770700636/1024/1024)*D73</f>
        <v>191.05410957336397</v>
      </c>
      <c r="G73" s="52">
        <f>F73/1024</f>
        <v>0.18657627888023826</v>
      </c>
      <c r="H73" s="15"/>
      <c r="I73" s="9">
        <f>G73</f>
        <v>0.18657627888023826</v>
      </c>
      <c r="J73" s="38"/>
      <c r="K73" s="51" t="s">
        <v>304</v>
      </c>
      <c r="L73" s="51" t="s">
        <v>337</v>
      </c>
    </row>
    <row r="74" spans="1:12" ht="13.5" thickBot="1">
      <c r="A74" s="58" t="s">
        <v>188</v>
      </c>
      <c r="B74" s="58" t="s">
        <v>315</v>
      </c>
      <c r="C74" s="59" t="s">
        <v>100</v>
      </c>
      <c r="D74" s="59">
        <v>314</v>
      </c>
      <c r="E74" s="59">
        <v>314</v>
      </c>
      <c r="F74" s="185">
        <f>(19107.2579617834/1024/1024)*D74</f>
        <v>5.721739768981922</v>
      </c>
      <c r="G74" s="60">
        <f>F74/1024</f>
        <v>0.005587636493146408</v>
      </c>
      <c r="H74" s="18"/>
      <c r="I74" s="10">
        <f>G74</f>
        <v>0.005587636493146408</v>
      </c>
      <c r="J74" s="61"/>
      <c r="K74" s="59" t="s">
        <v>304</v>
      </c>
      <c r="L74" s="59" t="s">
        <v>337</v>
      </c>
    </row>
    <row r="75" spans="1:10" ht="12.75">
      <c r="A75" s="62"/>
      <c r="B75" s="62"/>
      <c r="C75" s="65" t="s">
        <v>309</v>
      </c>
      <c r="D75" s="65"/>
      <c r="E75" s="65"/>
      <c r="F75" s="32">
        <f>SUM(F72:F74)</f>
        <v>202.02654838561983</v>
      </c>
      <c r="G75" s="32">
        <f>F75/1024</f>
        <v>0.19729155115783187</v>
      </c>
      <c r="I75" s="20">
        <f>SUM(I72:I74)</f>
        <v>0.19216391537338467</v>
      </c>
      <c r="J75" s="63">
        <f>SUM(J72:J74)</f>
        <v>0</v>
      </c>
    </row>
    <row r="77" spans="1:12" ht="13.5" thickBot="1">
      <c r="A77" s="58" t="s">
        <v>191</v>
      </c>
      <c r="B77" s="96" t="s">
        <v>192</v>
      </c>
      <c r="C77" s="59" t="s">
        <v>100</v>
      </c>
      <c r="D77" s="59">
        <v>272</v>
      </c>
      <c r="E77" s="59">
        <v>272</v>
      </c>
      <c r="F77" s="185">
        <f>(24690494.0851851/1024/1024)*D77</f>
        <v>6404.699698610637</v>
      </c>
      <c r="G77" s="60">
        <f>F77/1024</f>
        <v>6.25458954942445</v>
      </c>
      <c r="H77" s="18"/>
      <c r="I77" s="10"/>
      <c r="J77" s="61"/>
      <c r="K77" s="59" t="s">
        <v>304</v>
      </c>
      <c r="L77" s="59" t="s">
        <v>337</v>
      </c>
    </row>
    <row r="78" spans="1:10" ht="12.75">
      <c r="A78" s="62"/>
      <c r="B78" s="62"/>
      <c r="C78" s="5" t="s">
        <v>193</v>
      </c>
      <c r="D78" s="5"/>
      <c r="E78" s="5"/>
      <c r="F78" s="32">
        <f>F77</f>
        <v>6404.699698610637</v>
      </c>
      <c r="G78" s="32">
        <f>F78/1024</f>
        <v>6.25458954942445</v>
      </c>
      <c r="J78" s="63">
        <f>J77</f>
        <v>0</v>
      </c>
    </row>
    <row r="80" spans="1:79" s="37" customFormat="1" ht="12.75">
      <c r="A80" s="35"/>
      <c r="B80" s="35"/>
      <c r="C80" s="35" t="s">
        <v>126</v>
      </c>
      <c r="D80" s="35"/>
      <c r="E80" s="35"/>
      <c r="F80" s="36">
        <f>F78+F75+F70+F66+F62+F59+F46</f>
        <v>172275.8993876152</v>
      </c>
      <c r="G80" s="36">
        <f>G78+G75+G70+G66+G62+G59+G46</f>
        <v>171.9188160133143</v>
      </c>
      <c r="H80" s="129">
        <f>H78+H75+H70+H66+H62+H59+H46</f>
        <v>48.97891457962666</v>
      </c>
      <c r="I80" s="137">
        <f>I78+I75+I70+I66+I62+I59+I46</f>
        <v>0.19216391537338467</v>
      </c>
      <c r="J80" s="36">
        <f>J78+J75+J70+J66+J62+J59+J46</f>
        <v>0</v>
      </c>
      <c r="K80" s="35"/>
      <c r="L80" s="35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" ht="12.75">
      <c r="A81" s="8"/>
      <c r="B81" s="8"/>
      <c r="C81" s="8"/>
      <c r="D81" s="8"/>
      <c r="E81" s="8"/>
      <c r="G81" s="30"/>
    </row>
    <row r="82" spans="1:12" ht="12.75">
      <c r="A82" s="50" t="s">
        <v>98</v>
      </c>
      <c r="B82" s="95" t="s">
        <v>110</v>
      </c>
      <c r="C82" s="51" t="s">
        <v>100</v>
      </c>
      <c r="D82" s="51">
        <v>210</v>
      </c>
      <c r="E82" s="51">
        <v>210</v>
      </c>
      <c r="F82" s="180">
        <f>(12707435.1291866/1024/1024)*D82</f>
        <v>2544.9384471217977</v>
      </c>
      <c r="G82" s="52">
        <f>F82/1024</f>
        <v>2.4852914522673806</v>
      </c>
      <c r="H82" s="15"/>
      <c r="I82" s="9"/>
      <c r="J82" s="53"/>
      <c r="K82" s="51" t="s">
        <v>304</v>
      </c>
      <c r="L82" s="51" t="s">
        <v>111</v>
      </c>
    </row>
    <row r="83" spans="1:12" ht="12.75">
      <c r="A83" s="50" t="s">
        <v>98</v>
      </c>
      <c r="B83" s="95" t="s">
        <v>112</v>
      </c>
      <c r="C83" s="51" t="s">
        <v>100</v>
      </c>
      <c r="D83" s="51">
        <v>210</v>
      </c>
      <c r="E83" s="51">
        <v>210</v>
      </c>
      <c r="F83" s="180">
        <f>(12203663.2619047/1024/1024)*D83</f>
        <v>2444.047245979297</v>
      </c>
      <c r="G83" s="52">
        <f>F83/1024</f>
        <v>2.386764888651657</v>
      </c>
      <c r="H83" s="15"/>
      <c r="I83" s="9"/>
      <c r="J83" s="53"/>
      <c r="K83" s="51" t="s">
        <v>304</v>
      </c>
      <c r="L83" s="51" t="s">
        <v>111</v>
      </c>
    </row>
    <row r="84" spans="1:12" ht="12.75">
      <c r="A84" s="50" t="s">
        <v>98</v>
      </c>
      <c r="B84" s="95" t="s">
        <v>116</v>
      </c>
      <c r="C84" s="51" t="s">
        <v>100</v>
      </c>
      <c r="D84" s="51">
        <v>210</v>
      </c>
      <c r="E84" s="51">
        <v>210</v>
      </c>
      <c r="F84" s="180">
        <f>(4891932.94736842/1024/1024)*D84</f>
        <v>979.7152699922258</v>
      </c>
      <c r="G84" s="52">
        <f>F84/1024</f>
        <v>0.956753193351783</v>
      </c>
      <c r="H84" s="15"/>
      <c r="I84" s="9"/>
      <c r="J84" s="53"/>
      <c r="K84" s="51" t="s">
        <v>304</v>
      </c>
      <c r="L84" s="51" t="s">
        <v>111</v>
      </c>
    </row>
    <row r="85" spans="1:12" ht="13.5" thickBot="1">
      <c r="A85" s="58" t="s">
        <v>98</v>
      </c>
      <c r="B85" s="96" t="s">
        <v>117</v>
      </c>
      <c r="C85" s="59" t="s">
        <v>100</v>
      </c>
      <c r="D85" s="59">
        <v>210</v>
      </c>
      <c r="E85" s="59">
        <v>210</v>
      </c>
      <c r="F85" s="185">
        <f>(4705053.54285714/1024/1024)*D85</f>
        <v>942.2886314392085</v>
      </c>
      <c r="G85" s="60">
        <f>F85/1024</f>
        <v>0.9202037416398521</v>
      </c>
      <c r="H85" s="18"/>
      <c r="I85" s="10"/>
      <c r="J85" s="61"/>
      <c r="K85" s="59" t="s">
        <v>304</v>
      </c>
      <c r="L85" s="59" t="s">
        <v>111</v>
      </c>
    </row>
    <row r="86" spans="1:7" ht="12.75">
      <c r="A86" s="62"/>
      <c r="B86" s="62"/>
      <c r="C86" s="65" t="s">
        <v>193</v>
      </c>
      <c r="D86" s="65"/>
      <c r="E86" s="65"/>
      <c r="F86" s="32">
        <f>SUM(F82:F85)</f>
        <v>6910.98959453253</v>
      </c>
      <c r="G86" s="32">
        <f>F86/1024</f>
        <v>6.749013275910674</v>
      </c>
    </row>
    <row r="88" spans="1:12" ht="12.75">
      <c r="A88" s="50" t="s">
        <v>194</v>
      </c>
      <c r="B88" s="95" t="s">
        <v>1</v>
      </c>
      <c r="C88" s="51" t="s">
        <v>100</v>
      </c>
      <c r="D88" s="51">
        <v>210</v>
      </c>
      <c r="E88" s="51">
        <v>210</v>
      </c>
      <c r="F88" s="180">
        <f>(1812434.67142857/1024/1024)*D88</f>
        <v>362.97920322418184</v>
      </c>
      <c r="G88" s="52">
        <f>F88/1024</f>
        <v>0.3544718781486151</v>
      </c>
      <c r="H88" s="15"/>
      <c r="I88" s="9"/>
      <c r="J88" s="53"/>
      <c r="K88" s="51" t="s">
        <v>304</v>
      </c>
      <c r="L88" s="51" t="s">
        <v>111</v>
      </c>
    </row>
    <row r="89" spans="1:12" ht="13.5" thickBot="1">
      <c r="A89" s="58" t="s">
        <v>194</v>
      </c>
      <c r="B89" s="96" t="s">
        <v>2</v>
      </c>
      <c r="C89" s="59" t="s">
        <v>100</v>
      </c>
      <c r="D89" s="59">
        <v>210</v>
      </c>
      <c r="E89" s="59">
        <v>210</v>
      </c>
      <c r="F89" s="185">
        <f>(1932000.19617224/1024/1024)*D89</f>
        <v>386.9247829400734</v>
      </c>
      <c r="G89" s="60">
        <f>F89/1024</f>
        <v>0.3778562333399154</v>
      </c>
      <c r="H89" s="18"/>
      <c r="I89" s="10"/>
      <c r="J89" s="61"/>
      <c r="K89" s="59" t="s">
        <v>304</v>
      </c>
      <c r="L89" s="59" t="s">
        <v>111</v>
      </c>
    </row>
    <row r="90" spans="1:7" ht="12.75">
      <c r="A90" s="62"/>
      <c r="B90" s="62"/>
      <c r="C90" s="5" t="s">
        <v>193</v>
      </c>
      <c r="D90" s="5"/>
      <c r="E90" s="5"/>
      <c r="F90" s="32">
        <f>SUM(F88:F89)</f>
        <v>749.9039861642552</v>
      </c>
      <c r="G90" s="32">
        <f>F90/1024</f>
        <v>0.7323281114885305</v>
      </c>
    </row>
    <row r="92" spans="1:12" ht="12.75">
      <c r="A92" s="50" t="s">
        <v>3</v>
      </c>
      <c r="B92" s="50" t="s">
        <v>4</v>
      </c>
      <c r="C92" s="51" t="s">
        <v>100</v>
      </c>
      <c r="D92" s="51">
        <v>210</v>
      </c>
      <c r="E92" s="51">
        <v>210</v>
      </c>
      <c r="F92" s="180">
        <f>(19488.2476190476/1024/1024)*D92</f>
        <v>3.9029426574706996</v>
      </c>
      <c r="G92" s="52">
        <f aca="true" t="shared" si="4" ref="G92:G97">F92/1024</f>
        <v>0.00381146743893623</v>
      </c>
      <c r="H92" s="15"/>
      <c r="I92" s="9"/>
      <c r="J92" s="53"/>
      <c r="K92" s="51" t="s">
        <v>304</v>
      </c>
      <c r="L92" s="51" t="s">
        <v>111</v>
      </c>
    </row>
    <row r="93" spans="1:12" ht="12.75">
      <c r="A93" s="50" t="s">
        <v>3</v>
      </c>
      <c r="B93" s="50" t="s">
        <v>5</v>
      </c>
      <c r="C93" s="51" t="s">
        <v>100</v>
      </c>
      <c r="D93" s="51">
        <v>210</v>
      </c>
      <c r="E93" s="51">
        <v>210</v>
      </c>
      <c r="F93" s="180">
        <f>(26771.5285714285/1024/1024)*D93</f>
        <v>5.361577033996568</v>
      </c>
      <c r="G93" s="52">
        <f t="shared" si="4"/>
        <v>0.005235915072262273</v>
      </c>
      <c r="H93" s="15"/>
      <c r="I93" s="9"/>
      <c r="J93" s="53"/>
      <c r="K93" s="51" t="s">
        <v>304</v>
      </c>
      <c r="L93" s="51" t="s">
        <v>111</v>
      </c>
    </row>
    <row r="94" spans="1:12" ht="12.75">
      <c r="A94" s="50" t="s">
        <v>3</v>
      </c>
      <c r="B94" s="50" t="s">
        <v>6</v>
      </c>
      <c r="C94" s="51" t="s">
        <v>100</v>
      </c>
      <c r="D94" s="51">
        <v>210</v>
      </c>
      <c r="E94" s="51">
        <v>210</v>
      </c>
      <c r="F94" s="180">
        <f>(30656.7952380952/1024/1024)*D94</f>
        <v>6.139685630798333</v>
      </c>
      <c r="G94" s="52">
        <f t="shared" si="4"/>
        <v>0.005995786748826497</v>
      </c>
      <c r="H94" s="15"/>
      <c r="I94" s="9"/>
      <c r="J94" s="53"/>
      <c r="K94" s="51" t="s">
        <v>304</v>
      </c>
      <c r="L94" s="51" t="s">
        <v>111</v>
      </c>
    </row>
    <row r="95" spans="1:12" ht="12.75">
      <c r="A95" s="50" t="s">
        <v>3</v>
      </c>
      <c r="B95" s="95" t="s">
        <v>7</v>
      </c>
      <c r="C95" s="51" t="s">
        <v>100</v>
      </c>
      <c r="D95" s="51">
        <v>210</v>
      </c>
      <c r="E95" s="51">
        <v>210</v>
      </c>
      <c r="F95" s="180">
        <f>(242392.228571428/1024/1024)*D95</f>
        <v>48.54428100585926</v>
      </c>
      <c r="G95" s="52">
        <f t="shared" si="4"/>
        <v>0.047406524419784435</v>
      </c>
      <c r="H95" s="15"/>
      <c r="I95" s="9">
        <f>G95</f>
        <v>0.047406524419784435</v>
      </c>
      <c r="J95" s="53"/>
      <c r="K95" s="51" t="s">
        <v>304</v>
      </c>
      <c r="L95" s="51" t="s">
        <v>111</v>
      </c>
    </row>
    <row r="96" spans="1:12" ht="12.75">
      <c r="A96" s="50" t="s">
        <v>3</v>
      </c>
      <c r="B96" s="95" t="s">
        <v>8</v>
      </c>
      <c r="C96" s="51" t="s">
        <v>100</v>
      </c>
      <c r="D96" s="51">
        <v>210</v>
      </c>
      <c r="E96" s="51">
        <v>210</v>
      </c>
      <c r="F96" s="180">
        <f>(291165.195238095/1024/1024)*D96</f>
        <v>58.312121391296344</v>
      </c>
      <c r="G96" s="52">
        <f t="shared" si="4"/>
        <v>0.056945431046187836</v>
      </c>
      <c r="H96" s="15"/>
      <c r="I96" s="9">
        <f>G96</f>
        <v>0.056945431046187836</v>
      </c>
      <c r="J96" s="53"/>
      <c r="K96" s="51" t="s">
        <v>304</v>
      </c>
      <c r="L96" s="51" t="s">
        <v>111</v>
      </c>
    </row>
    <row r="97" spans="1:12" ht="13.5" thickBot="1">
      <c r="A97" s="58" t="s">
        <v>3</v>
      </c>
      <c r="B97" s="58" t="s">
        <v>315</v>
      </c>
      <c r="C97" s="59" t="s">
        <v>100</v>
      </c>
      <c r="D97" s="59">
        <v>420</v>
      </c>
      <c r="E97" s="59">
        <v>420</v>
      </c>
      <c r="F97" s="185">
        <f>(40047.2857142857/1024/1024)*D97</f>
        <v>16.040668487548825</v>
      </c>
      <c r="G97" s="60">
        <f t="shared" si="4"/>
        <v>0.0156647153198719</v>
      </c>
      <c r="H97" s="18"/>
      <c r="I97" s="10">
        <f>G97</f>
        <v>0.0156647153198719</v>
      </c>
      <c r="J97" s="61"/>
      <c r="K97" s="59" t="s">
        <v>304</v>
      </c>
      <c r="L97" s="59" t="s">
        <v>111</v>
      </c>
    </row>
    <row r="98" spans="1:10" ht="12.75">
      <c r="A98" s="62"/>
      <c r="B98" s="62"/>
      <c r="C98" s="65" t="s">
        <v>309</v>
      </c>
      <c r="D98" s="65"/>
      <c r="E98" s="65"/>
      <c r="F98" s="32">
        <f>SUM(F92:F97)</f>
        <v>138.30127620697002</v>
      </c>
      <c r="G98" s="32">
        <f>F98/1024</f>
        <v>0.13505984004586916</v>
      </c>
      <c r="I98" s="20">
        <f>SUM(I92:I97)</f>
        <v>0.12001667078584417</v>
      </c>
      <c r="J98" s="63">
        <f>SUM(J92:J97)</f>
        <v>0</v>
      </c>
    </row>
    <row r="100" spans="1:79" s="37" customFormat="1" ht="12.75">
      <c r="A100" s="35"/>
      <c r="B100" s="35"/>
      <c r="C100" s="35" t="s">
        <v>127</v>
      </c>
      <c r="D100" s="35"/>
      <c r="E100" s="35"/>
      <c r="F100" s="36">
        <f>F98+F90+F86</f>
        <v>7799.194856903755</v>
      </c>
      <c r="G100" s="36">
        <f>G98+G90+G86</f>
        <v>7.616401227445073</v>
      </c>
      <c r="H100" s="129">
        <f>H98+H90+H86</f>
        <v>0</v>
      </c>
      <c r="I100" s="137">
        <f>I98+I90+I86</f>
        <v>0.12001667078584417</v>
      </c>
      <c r="J100" s="36">
        <f>J98+J90+J86</f>
        <v>0</v>
      </c>
      <c r="K100" s="35"/>
      <c r="L100" s="35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" ht="12.75">
      <c r="A101" s="8"/>
      <c r="B101" s="8"/>
      <c r="C101" s="8"/>
      <c r="D101" s="8"/>
      <c r="E101" s="8"/>
      <c r="G101" s="30"/>
    </row>
    <row r="102" spans="1:12" ht="12.75">
      <c r="A102" s="50" t="s">
        <v>9</v>
      </c>
      <c r="B102" s="50" t="s">
        <v>10</v>
      </c>
      <c r="C102" s="51" t="s">
        <v>105</v>
      </c>
      <c r="D102" s="51">
        <v>286</v>
      </c>
      <c r="E102" s="51">
        <v>286</v>
      </c>
      <c r="F102" s="180">
        <f>(31505.1438596491/1024/1024)*D102</f>
        <v>8.593054908618585</v>
      </c>
      <c r="G102" s="52">
        <f>F102/1024</f>
        <v>0.008391655184197837</v>
      </c>
      <c r="H102" s="15"/>
      <c r="I102" s="9"/>
      <c r="J102" s="53"/>
      <c r="K102" s="51" t="s">
        <v>304</v>
      </c>
      <c r="L102" s="51" t="s">
        <v>11</v>
      </c>
    </row>
    <row r="103" spans="1:12" ht="12.75">
      <c r="A103" s="50" t="s">
        <v>9</v>
      </c>
      <c r="B103" s="50" t="s">
        <v>12</v>
      </c>
      <c r="C103" s="51" t="s">
        <v>100</v>
      </c>
      <c r="D103" s="51">
        <v>317</v>
      </c>
      <c r="E103" s="51">
        <v>317</v>
      </c>
      <c r="F103" s="180">
        <f>(12378.2239747634/1024/1024)*D103</f>
        <v>3.742119789123533</v>
      </c>
      <c r="G103" s="52">
        <f aca="true" t="shared" si="5" ref="G103:G111">F103/1024</f>
        <v>0.00365441385656595</v>
      </c>
      <c r="H103" s="15"/>
      <c r="I103" s="9"/>
      <c r="J103" s="53"/>
      <c r="K103" s="51" t="s">
        <v>304</v>
      </c>
      <c r="L103" s="51" t="s">
        <v>173</v>
      </c>
    </row>
    <row r="104" spans="1:12" ht="12.75">
      <c r="A104" s="50" t="s">
        <v>9</v>
      </c>
      <c r="B104" s="50" t="s">
        <v>13</v>
      </c>
      <c r="C104" s="51" t="s">
        <v>100</v>
      </c>
      <c r="D104" s="51">
        <v>317</v>
      </c>
      <c r="E104" s="51">
        <v>317</v>
      </c>
      <c r="F104" s="180">
        <f>(13023.3438485804/1024/1024)*D104</f>
        <v>3.93714904785155</v>
      </c>
      <c r="G104" s="52">
        <f t="shared" si="5"/>
        <v>0.0038448721170425294</v>
      </c>
      <c r="H104" s="15"/>
      <c r="I104" s="9"/>
      <c r="J104" s="53"/>
      <c r="K104" s="51" t="s">
        <v>304</v>
      </c>
      <c r="L104" s="51" t="s">
        <v>173</v>
      </c>
    </row>
    <row r="105" spans="1:12" ht="12.75">
      <c r="A105" s="50" t="s">
        <v>9</v>
      </c>
      <c r="B105" s="50" t="s">
        <v>14</v>
      </c>
      <c r="C105" s="51" t="s">
        <v>100</v>
      </c>
      <c r="D105" s="51">
        <v>317</v>
      </c>
      <c r="E105" s="51">
        <v>317</v>
      </c>
      <c r="F105" s="180">
        <f>(12378.2239747634/1024/1024)*D105</f>
        <v>3.742119789123533</v>
      </c>
      <c r="G105" s="52">
        <f t="shared" si="5"/>
        <v>0.00365441385656595</v>
      </c>
      <c r="H105" s="15"/>
      <c r="I105" s="9"/>
      <c r="J105" s="53"/>
      <c r="K105" s="51" t="s">
        <v>304</v>
      </c>
      <c r="L105" s="51" t="s">
        <v>173</v>
      </c>
    </row>
    <row r="106" spans="1:12" ht="12.75">
      <c r="A106" s="50" t="s">
        <v>9</v>
      </c>
      <c r="B106" s="50" t="s">
        <v>15</v>
      </c>
      <c r="C106" s="51" t="s">
        <v>100</v>
      </c>
      <c r="D106" s="51">
        <v>317</v>
      </c>
      <c r="E106" s="51">
        <v>317</v>
      </c>
      <c r="F106" s="180">
        <f>(13023.3438485804/1024/1024)*D106</f>
        <v>3.93714904785155</v>
      </c>
      <c r="G106" s="52">
        <f t="shared" si="5"/>
        <v>0.0038448721170425294</v>
      </c>
      <c r="H106" s="15"/>
      <c r="I106" s="9"/>
      <c r="J106" s="53"/>
      <c r="K106" s="51" t="s">
        <v>304</v>
      </c>
      <c r="L106" s="51" t="s">
        <v>173</v>
      </c>
    </row>
    <row r="107" spans="1:12" ht="12.75">
      <c r="A107" s="50" t="s">
        <v>9</v>
      </c>
      <c r="B107" s="95" t="s">
        <v>16</v>
      </c>
      <c r="C107" s="51" t="s">
        <v>105</v>
      </c>
      <c r="D107" s="51">
        <v>286</v>
      </c>
      <c r="E107" s="51">
        <v>286</v>
      </c>
      <c r="F107" s="180">
        <f>(2324452.47719298/1024/1024)*D107</f>
        <v>633.9963993808672</v>
      </c>
      <c r="G107" s="52">
        <f t="shared" si="5"/>
        <v>0.6191371087703781</v>
      </c>
      <c r="H107" s="15">
        <f>G107</f>
        <v>0.6191371087703781</v>
      </c>
      <c r="I107" s="9"/>
      <c r="J107" s="53"/>
      <c r="K107" s="51" t="s">
        <v>304</v>
      </c>
      <c r="L107" s="51" t="s">
        <v>11</v>
      </c>
    </row>
    <row r="108" spans="1:12" ht="12.75">
      <c r="A108" s="50" t="s">
        <v>9</v>
      </c>
      <c r="B108" s="50" t="s">
        <v>17</v>
      </c>
      <c r="C108" s="51" t="s">
        <v>105</v>
      </c>
      <c r="D108" s="51">
        <v>286</v>
      </c>
      <c r="E108" s="51">
        <v>286</v>
      </c>
      <c r="F108" s="180">
        <f>(33072.9543859649/1024/1024)*D108</f>
        <v>9.020676569353066</v>
      </c>
      <c r="G108" s="52">
        <f t="shared" si="5"/>
        <v>0.008809254462258853</v>
      </c>
      <c r="H108" s="15">
        <f>G108</f>
        <v>0.008809254462258853</v>
      </c>
      <c r="I108" s="9"/>
      <c r="J108" s="53"/>
      <c r="K108" s="51" t="s">
        <v>304</v>
      </c>
      <c r="L108" s="51" t="s">
        <v>173</v>
      </c>
    </row>
    <row r="109" spans="1:12" ht="12.75">
      <c r="A109" s="50" t="s">
        <v>9</v>
      </c>
      <c r="B109" s="50" t="s">
        <v>18</v>
      </c>
      <c r="C109" s="51" t="s">
        <v>100</v>
      </c>
      <c r="D109" s="51">
        <v>634</v>
      </c>
      <c r="E109" s="51">
        <v>634</v>
      </c>
      <c r="F109" s="180">
        <f>(27002.5678233438/1024/1024)*D109</f>
        <v>16.32654953002927</v>
      </c>
      <c r="G109" s="52">
        <f t="shared" si="5"/>
        <v>0.015943896025419207</v>
      </c>
      <c r="H109" s="15">
        <f>G109</f>
        <v>0.015943896025419207</v>
      </c>
      <c r="I109" s="9"/>
      <c r="J109" s="53"/>
      <c r="K109" s="51" t="s">
        <v>304</v>
      </c>
      <c r="L109" s="51" t="s">
        <v>173</v>
      </c>
    </row>
    <row r="110" spans="1:12" ht="12.75">
      <c r="A110" s="50" t="s">
        <v>174</v>
      </c>
      <c r="B110" s="95" t="s">
        <v>19</v>
      </c>
      <c r="C110" s="51" t="s">
        <v>100</v>
      </c>
      <c r="D110" s="51">
        <v>317</v>
      </c>
      <c r="E110" s="51">
        <v>317</v>
      </c>
      <c r="F110" s="180">
        <f>(2145629.10094637/1024/1024)*D110</f>
        <v>648.6553430557244</v>
      </c>
      <c r="G110" s="52">
        <f t="shared" si="5"/>
        <v>0.6334524834528559</v>
      </c>
      <c r="H110" s="15">
        <f>G110</f>
        <v>0.6334524834528559</v>
      </c>
      <c r="I110" s="9"/>
      <c r="J110" s="53"/>
      <c r="K110" s="51" t="s">
        <v>304</v>
      </c>
      <c r="L110" s="51" t="s">
        <v>173</v>
      </c>
    </row>
    <row r="111" spans="1:12" ht="12.75">
      <c r="A111" s="50" t="s">
        <v>174</v>
      </c>
      <c r="B111" s="95" t="s">
        <v>20</v>
      </c>
      <c r="C111" s="51" t="s">
        <v>100</v>
      </c>
      <c r="D111" s="51">
        <v>317</v>
      </c>
      <c r="E111" s="51">
        <v>317</v>
      </c>
      <c r="F111" s="180">
        <f>(219651.214511041/1024/1024)*D111</f>
        <v>66.40380382537842</v>
      </c>
      <c r="G111" s="52">
        <f t="shared" si="5"/>
        <v>0.06484746467322111</v>
      </c>
      <c r="H111" s="15">
        <f>G111</f>
        <v>0.06484746467322111</v>
      </c>
      <c r="I111" s="9"/>
      <c r="J111" s="53"/>
      <c r="K111" s="51" t="s">
        <v>304</v>
      </c>
      <c r="L111" s="51" t="s">
        <v>173</v>
      </c>
    </row>
    <row r="112" spans="1:12" ht="12.75">
      <c r="A112" s="50" t="s">
        <v>174</v>
      </c>
      <c r="B112" s="50" t="s">
        <v>21</v>
      </c>
      <c r="C112" s="51" t="s">
        <v>22</v>
      </c>
      <c r="D112" s="51">
        <v>317</v>
      </c>
      <c r="E112" s="51">
        <v>317</v>
      </c>
      <c r="F112" s="180">
        <f>(44*317)/365</f>
        <v>38.21369863013699</v>
      </c>
      <c r="G112" s="52">
        <f>F112/1024</f>
        <v>0.03731806506849315</v>
      </c>
      <c r="H112" s="15"/>
      <c r="I112" s="9"/>
      <c r="J112" s="53"/>
      <c r="K112" s="51" t="s">
        <v>304</v>
      </c>
      <c r="L112" s="51" t="s">
        <v>23</v>
      </c>
    </row>
    <row r="113" spans="1:12" ht="13.5" thickBot="1">
      <c r="A113" s="58" t="s">
        <v>174</v>
      </c>
      <c r="B113" s="58" t="s">
        <v>24</v>
      </c>
      <c r="C113" s="59" t="s">
        <v>22</v>
      </c>
      <c r="D113" s="59">
        <v>317</v>
      </c>
      <c r="E113" s="59">
        <v>317</v>
      </c>
      <c r="F113" s="185">
        <f>(44*317)/365</f>
        <v>38.21369863013699</v>
      </c>
      <c r="G113" s="60">
        <f>F113/1024</f>
        <v>0.03731806506849315</v>
      </c>
      <c r="H113" s="18"/>
      <c r="I113" s="10"/>
      <c r="J113" s="61"/>
      <c r="K113" s="59" t="s">
        <v>304</v>
      </c>
      <c r="L113" s="59" t="s">
        <v>23</v>
      </c>
    </row>
    <row r="114" spans="1:10" ht="12.75">
      <c r="A114" s="62"/>
      <c r="B114" s="62"/>
      <c r="C114" s="65" t="s">
        <v>309</v>
      </c>
      <c r="D114" s="65"/>
      <c r="E114" s="65"/>
      <c r="F114" s="32">
        <f>SUM(F102:F113)</f>
        <v>1474.7817622041953</v>
      </c>
      <c r="G114" s="32">
        <f>F114/1024</f>
        <v>1.4402165646525344</v>
      </c>
      <c r="H114" s="19">
        <f>SUM(H102:H113)</f>
        <v>1.3421902073841332</v>
      </c>
      <c r="J114" s="63">
        <f>SUM(J102:J113)</f>
        <v>0</v>
      </c>
    </row>
    <row r="116" spans="1:79" s="37" customFormat="1" ht="12.75">
      <c r="A116" s="35"/>
      <c r="B116" s="35"/>
      <c r="C116" s="35" t="s">
        <v>128</v>
      </c>
      <c r="D116" s="35"/>
      <c r="E116" s="35"/>
      <c r="F116" s="36">
        <f>F114</f>
        <v>1474.7817622041953</v>
      </c>
      <c r="G116" s="36">
        <f>G114</f>
        <v>1.4402165646525344</v>
      </c>
      <c r="H116" s="129">
        <f>H114</f>
        <v>1.3421902073841332</v>
      </c>
      <c r="I116" s="137">
        <f>I114</f>
        <v>0</v>
      </c>
      <c r="J116" s="36">
        <f>J114</f>
        <v>0</v>
      </c>
      <c r="K116" s="35"/>
      <c r="L116" s="35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1:7" ht="12.75">
      <c r="A117" s="8"/>
      <c r="B117" s="8"/>
      <c r="C117" s="8"/>
      <c r="D117" s="8"/>
      <c r="E117" s="8"/>
      <c r="G117" s="30"/>
    </row>
    <row r="118" spans="1:12" ht="12.75">
      <c r="A118" s="50" t="s">
        <v>41</v>
      </c>
      <c r="B118" s="50" t="s">
        <v>42</v>
      </c>
      <c r="C118" s="51" t="s">
        <v>43</v>
      </c>
      <c r="D118" s="51">
        <v>288</v>
      </c>
      <c r="E118" s="51">
        <f>288/8</f>
        <v>36</v>
      </c>
      <c r="F118" s="180">
        <f>((23580.0208333333/1024/1024)*D118)/8</f>
        <v>0.8095557689666737</v>
      </c>
      <c r="G118" s="52">
        <f aca="true" t="shared" si="6" ref="G118:G123">F118/1024</f>
        <v>0.0007905818056315173</v>
      </c>
      <c r="H118" s="15"/>
      <c r="I118" s="9"/>
      <c r="J118" s="53"/>
      <c r="K118" s="51" t="s">
        <v>304</v>
      </c>
      <c r="L118" s="51" t="s">
        <v>44</v>
      </c>
    </row>
    <row r="119" spans="1:12" ht="12.75">
      <c r="A119" s="50" t="s">
        <v>41</v>
      </c>
      <c r="B119" s="95" t="s">
        <v>296</v>
      </c>
      <c r="C119" s="51" t="s">
        <v>43</v>
      </c>
      <c r="D119" s="51">
        <v>288</v>
      </c>
      <c r="E119" s="51">
        <f>288/8</f>
        <v>36</v>
      </c>
      <c r="F119" s="180">
        <f>((62037907.8784722/1024/1024)*D119)/8</f>
        <v>2129.9025379419318</v>
      </c>
      <c r="G119" s="52">
        <f t="shared" si="6"/>
        <v>2.0799829472089177</v>
      </c>
      <c r="H119" s="15">
        <f>G119</f>
        <v>2.0799829472089177</v>
      </c>
      <c r="I119" s="9"/>
      <c r="J119" s="53"/>
      <c r="K119" s="51" t="s">
        <v>304</v>
      </c>
      <c r="L119" s="51" t="s">
        <v>44</v>
      </c>
    </row>
    <row r="120" spans="1:12" ht="12.75">
      <c r="A120" s="50" t="s">
        <v>41</v>
      </c>
      <c r="B120" s="50" t="s">
        <v>297</v>
      </c>
      <c r="C120" s="51" t="s">
        <v>43</v>
      </c>
      <c r="D120" s="51">
        <v>288</v>
      </c>
      <c r="E120" s="51">
        <f>288/8</f>
        <v>36</v>
      </c>
      <c r="F120" s="180">
        <f>((920842.861111111/1024/1024)*D120)/8</f>
        <v>31.61463069915771</v>
      </c>
      <c r="G120" s="52">
        <f t="shared" si="6"/>
        <v>0.030873662792146202</v>
      </c>
      <c r="H120" s="15"/>
      <c r="I120" s="9"/>
      <c r="J120" s="53"/>
      <c r="K120" s="51" t="s">
        <v>304</v>
      </c>
      <c r="L120" s="51" t="s">
        <v>44</v>
      </c>
    </row>
    <row r="121" spans="1:12" ht="12.75">
      <c r="A121" s="50" t="s">
        <v>298</v>
      </c>
      <c r="B121" s="95" t="s">
        <v>299</v>
      </c>
      <c r="C121" s="51" t="s">
        <v>43</v>
      </c>
      <c r="D121" s="51">
        <v>288</v>
      </c>
      <c r="E121" s="51">
        <f>288/8</f>
        <v>36</v>
      </c>
      <c r="F121" s="180">
        <f>((58512985.6111111/1024/1024)*D121)/8</f>
        <v>2008.8839359283443</v>
      </c>
      <c r="G121" s="52">
        <f t="shared" si="6"/>
        <v>1.9618007186800237</v>
      </c>
      <c r="H121" s="15">
        <f>G121</f>
        <v>1.9618007186800237</v>
      </c>
      <c r="I121" s="9"/>
      <c r="J121" s="53"/>
      <c r="K121" s="51" t="s">
        <v>304</v>
      </c>
      <c r="L121" s="51" t="s">
        <v>44</v>
      </c>
    </row>
    <row r="122" spans="1:12" ht="13.5" thickBot="1">
      <c r="A122" s="58" t="s">
        <v>41</v>
      </c>
      <c r="B122" s="58" t="s">
        <v>315</v>
      </c>
      <c r="C122" s="59" t="s">
        <v>43</v>
      </c>
      <c r="D122" s="59">
        <v>288</v>
      </c>
      <c r="E122" s="59">
        <f>288/8</f>
        <v>36</v>
      </c>
      <c r="F122" s="185">
        <f>((25153.0208333333/1024/1024)*D122)/8</f>
        <v>0.8635604381561268</v>
      </c>
      <c r="G122" s="60">
        <f t="shared" si="6"/>
        <v>0.0008433207403868426</v>
      </c>
      <c r="H122" s="18">
        <f>G122</f>
        <v>0.0008433207403868426</v>
      </c>
      <c r="I122" s="10"/>
      <c r="J122" s="61"/>
      <c r="K122" s="59" t="s">
        <v>304</v>
      </c>
      <c r="L122" s="59" t="s">
        <v>44</v>
      </c>
    </row>
    <row r="123" spans="1:10" ht="12.75">
      <c r="A123" s="62"/>
      <c r="B123" s="62"/>
      <c r="C123" s="5" t="s">
        <v>193</v>
      </c>
      <c r="D123" s="5"/>
      <c r="E123" s="5"/>
      <c r="F123" s="32">
        <f>SUM(F118:F122)</f>
        <v>4172.074220776556</v>
      </c>
      <c r="G123" s="32">
        <f t="shared" si="6"/>
        <v>4.074291231227106</v>
      </c>
      <c r="H123" s="19">
        <f>SUM(H118:H122)</f>
        <v>4.042626986629328</v>
      </c>
      <c r="J123" s="63">
        <f>SUM(J118:J122)</f>
        <v>0</v>
      </c>
    </row>
    <row r="124" spans="1:7" ht="12.75">
      <c r="A124" s="62"/>
      <c r="B124" s="62"/>
      <c r="C124" s="5"/>
      <c r="D124" s="5"/>
      <c r="E124" s="5"/>
      <c r="F124" s="32"/>
      <c r="G124" s="32"/>
    </row>
    <row r="125" spans="1:12" ht="12.75">
      <c r="A125" s="50" t="s">
        <v>300</v>
      </c>
      <c r="B125" s="50" t="s">
        <v>301</v>
      </c>
      <c r="C125" s="51" t="s">
        <v>43</v>
      </c>
      <c r="D125" s="51">
        <v>286</v>
      </c>
      <c r="E125" s="51">
        <f aca="true" t="shared" si="7" ref="E125:E137">286/8</f>
        <v>35.75</v>
      </c>
      <c r="F125" s="180">
        <f>((11571.7307692307/1024/1024)*D125)/8</f>
        <v>0.3945249319076515</v>
      </c>
      <c r="G125" s="52">
        <f aca="true" t="shared" si="8" ref="G125:G139">F125/1024</f>
        <v>0.0003852782538160659</v>
      </c>
      <c r="H125" s="15"/>
      <c r="I125" s="9"/>
      <c r="J125" s="53"/>
      <c r="K125" s="51" t="s">
        <v>304</v>
      </c>
      <c r="L125" s="51" t="s">
        <v>44</v>
      </c>
    </row>
    <row r="126" spans="1:12" ht="12.75">
      <c r="A126" s="50" t="s">
        <v>300</v>
      </c>
      <c r="B126" s="50" t="s">
        <v>302</v>
      </c>
      <c r="C126" s="51" t="s">
        <v>43</v>
      </c>
      <c r="D126" s="51">
        <v>286</v>
      </c>
      <c r="E126" s="51">
        <f t="shared" si="7"/>
        <v>35.75</v>
      </c>
      <c r="F126" s="180">
        <f>((13241.7867132867/1024/1024)*D126)/8</f>
        <v>0.4514635801315303</v>
      </c>
      <c r="G126" s="52">
        <f t="shared" si="8"/>
        <v>0.0004408824024721976</v>
      </c>
      <c r="H126" s="15"/>
      <c r="I126" s="9"/>
      <c r="J126" s="53"/>
      <c r="K126" s="51" t="s">
        <v>304</v>
      </c>
      <c r="L126" s="51" t="s">
        <v>44</v>
      </c>
    </row>
    <row r="127" spans="1:12" ht="12.75">
      <c r="A127" s="50" t="s">
        <v>300</v>
      </c>
      <c r="B127" s="50" t="s">
        <v>162</v>
      </c>
      <c r="C127" s="51" t="s">
        <v>43</v>
      </c>
      <c r="D127" s="51">
        <v>286</v>
      </c>
      <c r="E127" s="51">
        <f t="shared" si="7"/>
        <v>35.75</v>
      </c>
      <c r="F127" s="180">
        <f>((13518.1783216783/1024/1024)*D127)/8</f>
        <v>0.4608868360519402</v>
      </c>
      <c r="G127" s="52">
        <f t="shared" si="8"/>
        <v>0.00045008480083197285</v>
      </c>
      <c r="H127" s="15"/>
      <c r="I127" s="9"/>
      <c r="J127" s="53"/>
      <c r="K127" s="51" t="s">
        <v>304</v>
      </c>
      <c r="L127" s="51" t="s">
        <v>44</v>
      </c>
    </row>
    <row r="128" spans="1:12" ht="12.75">
      <c r="A128" s="50" t="s">
        <v>300</v>
      </c>
      <c r="B128" s="50" t="s">
        <v>163</v>
      </c>
      <c r="C128" s="51" t="s">
        <v>43</v>
      </c>
      <c r="D128" s="51">
        <v>286</v>
      </c>
      <c r="E128" s="51">
        <f t="shared" si="7"/>
        <v>35.75</v>
      </c>
      <c r="F128" s="180">
        <f>((13109.8496403496/1024/1024)*D128)/8</f>
        <v>0.44696533645868125</v>
      </c>
      <c r="G128" s="52">
        <f t="shared" si="8"/>
        <v>0.0004364895863854309</v>
      </c>
      <c r="H128" s="15"/>
      <c r="I128" s="9"/>
      <c r="J128" s="53"/>
      <c r="K128" s="51" t="s">
        <v>304</v>
      </c>
      <c r="L128" s="51" t="s">
        <v>44</v>
      </c>
    </row>
    <row r="129" spans="1:12" ht="12.75">
      <c r="A129" s="50" t="s">
        <v>300</v>
      </c>
      <c r="B129" s="50" t="s">
        <v>164</v>
      </c>
      <c r="C129" s="51" t="s">
        <v>43</v>
      </c>
      <c r="D129" s="51">
        <v>286</v>
      </c>
      <c r="E129" s="51">
        <f t="shared" si="7"/>
        <v>35.75</v>
      </c>
      <c r="F129" s="180">
        <f>((13495.1958041958/1024/1024)*D129)/8</f>
        <v>0.4601032733917235</v>
      </c>
      <c r="G129" s="52">
        <f t="shared" si="8"/>
        <v>0.000449319602921605</v>
      </c>
      <c r="H129" s="15"/>
      <c r="I129" s="9"/>
      <c r="J129" s="53"/>
      <c r="K129" s="51" t="s">
        <v>304</v>
      </c>
      <c r="L129" s="51" t="s">
        <v>44</v>
      </c>
    </row>
    <row r="130" spans="1:12" ht="12.75">
      <c r="A130" s="50" t="s">
        <v>300</v>
      </c>
      <c r="B130" s="50" t="s">
        <v>165</v>
      </c>
      <c r="C130" s="51" t="s">
        <v>43</v>
      </c>
      <c r="D130" s="51">
        <v>286</v>
      </c>
      <c r="E130" s="51">
        <f t="shared" si="7"/>
        <v>35.75</v>
      </c>
      <c r="F130" s="180">
        <f>((13296.6853146853/1024/1024)*D130)/8</f>
        <v>0.453335285186767</v>
      </c>
      <c r="G130" s="52">
        <f t="shared" si="8"/>
        <v>0.00044271023944020217</v>
      </c>
      <c r="H130" s="15"/>
      <c r="I130" s="9"/>
      <c r="J130" s="53"/>
      <c r="K130" s="51" t="s">
        <v>304</v>
      </c>
      <c r="L130" s="51" t="s">
        <v>44</v>
      </c>
    </row>
    <row r="131" spans="1:12" ht="12.75">
      <c r="A131" s="50" t="s">
        <v>300</v>
      </c>
      <c r="B131" s="50" t="s">
        <v>166</v>
      </c>
      <c r="C131" s="51" t="s">
        <v>43</v>
      </c>
      <c r="D131" s="51">
        <v>286</v>
      </c>
      <c r="E131" s="51">
        <f t="shared" si="7"/>
        <v>35.75</v>
      </c>
      <c r="F131" s="180">
        <f>((13112.6188811188/1024/1024)*D131)/8</f>
        <v>0.447059750556943</v>
      </c>
      <c r="G131" s="52">
        <f t="shared" si="8"/>
        <v>0.0004365817876532647</v>
      </c>
      <c r="H131" s="15"/>
      <c r="I131" s="9"/>
      <c r="J131" s="53"/>
      <c r="K131" s="51" t="s">
        <v>304</v>
      </c>
      <c r="L131" s="51" t="s">
        <v>44</v>
      </c>
    </row>
    <row r="132" spans="1:12" ht="12.75">
      <c r="A132" s="50" t="s">
        <v>300</v>
      </c>
      <c r="B132" s="50" t="s">
        <v>167</v>
      </c>
      <c r="C132" s="51" t="s">
        <v>43</v>
      </c>
      <c r="D132" s="51">
        <v>286</v>
      </c>
      <c r="E132" s="51">
        <f t="shared" si="7"/>
        <v>35.75</v>
      </c>
      <c r="F132" s="180">
        <f>((13342.6958041958/1024/1024)*D132)/8</f>
        <v>0.4549039602279662</v>
      </c>
      <c r="G132" s="52">
        <f t="shared" si="8"/>
        <v>0.00044424214866012324</v>
      </c>
      <c r="H132" s="15"/>
      <c r="I132" s="9"/>
      <c r="J132" s="53"/>
      <c r="K132" s="51" t="s">
        <v>304</v>
      </c>
      <c r="L132" s="51" t="s">
        <v>44</v>
      </c>
    </row>
    <row r="133" spans="1:12" ht="12.75">
      <c r="A133" s="50" t="s">
        <v>300</v>
      </c>
      <c r="B133" s="50" t="s">
        <v>248</v>
      </c>
      <c r="C133" s="51" t="s">
        <v>43</v>
      </c>
      <c r="D133" s="51">
        <v>286</v>
      </c>
      <c r="E133" s="51">
        <f t="shared" si="7"/>
        <v>35.75</v>
      </c>
      <c r="F133" s="180">
        <f>((13013.6643356643/1024/1024)*D133)/8</f>
        <v>0.4436860084533679</v>
      </c>
      <c r="G133" s="52">
        <f t="shared" si="8"/>
        <v>0.0004332871176302421</v>
      </c>
      <c r="H133" s="15"/>
      <c r="I133" s="9"/>
      <c r="J133" s="53"/>
      <c r="K133" s="51" t="s">
        <v>304</v>
      </c>
      <c r="L133" s="51" t="s">
        <v>44</v>
      </c>
    </row>
    <row r="134" spans="1:12" ht="12.75">
      <c r="A134" s="50" t="s">
        <v>300</v>
      </c>
      <c r="B134" s="95" t="s">
        <v>249</v>
      </c>
      <c r="C134" s="51" t="s">
        <v>43</v>
      </c>
      <c r="D134" s="51">
        <v>286</v>
      </c>
      <c r="E134" s="51">
        <f t="shared" si="7"/>
        <v>35.75</v>
      </c>
      <c r="F134" s="180">
        <f>((535181.902097902/1024/1024)*D134)/8</f>
        <v>18.246415138244625</v>
      </c>
      <c r="G134" s="52">
        <f t="shared" si="8"/>
        <v>0.017818764783442017</v>
      </c>
      <c r="H134" s="15">
        <f>G134</f>
        <v>0.017818764783442017</v>
      </c>
      <c r="I134" s="9"/>
      <c r="J134" s="53"/>
      <c r="K134" s="51" t="s">
        <v>304</v>
      </c>
      <c r="L134" s="51" t="s">
        <v>44</v>
      </c>
    </row>
    <row r="135" spans="1:12" ht="12.75">
      <c r="A135" s="50" t="s">
        <v>300</v>
      </c>
      <c r="B135" s="50" t="s">
        <v>250</v>
      </c>
      <c r="C135" s="51" t="s">
        <v>43</v>
      </c>
      <c r="D135" s="51">
        <v>286</v>
      </c>
      <c r="E135" s="51">
        <f t="shared" si="7"/>
        <v>35.75</v>
      </c>
      <c r="F135" s="180">
        <f>((485907.979020979/1024/1024)*D135)/8</f>
        <v>16.566477060317993</v>
      </c>
      <c r="G135" s="52">
        <f t="shared" si="8"/>
        <v>0.01617820025421679</v>
      </c>
      <c r="H135" s="15"/>
      <c r="I135" s="9"/>
      <c r="J135" s="53"/>
      <c r="K135" s="51" t="s">
        <v>304</v>
      </c>
      <c r="L135" s="51" t="s">
        <v>44</v>
      </c>
    </row>
    <row r="136" spans="1:12" ht="12.75">
      <c r="A136" s="50" t="s">
        <v>300</v>
      </c>
      <c r="B136" s="95" t="s">
        <v>251</v>
      </c>
      <c r="C136" s="51" t="s">
        <v>43</v>
      </c>
      <c r="D136" s="51">
        <v>286</v>
      </c>
      <c r="E136" s="51">
        <f t="shared" si="7"/>
        <v>35.75</v>
      </c>
      <c r="F136" s="180">
        <f>((340494.353146853/1024/1024)*D136)/8</f>
        <v>11.6087657213211</v>
      </c>
      <c r="G136" s="52">
        <f t="shared" si="8"/>
        <v>0.011336685274727637</v>
      </c>
      <c r="H136" s="15">
        <f>G136</f>
        <v>0.011336685274727637</v>
      </c>
      <c r="I136" s="9"/>
      <c r="J136" s="53"/>
      <c r="K136" s="51" t="s">
        <v>304</v>
      </c>
      <c r="L136" s="51" t="s">
        <v>44</v>
      </c>
    </row>
    <row r="137" spans="1:12" ht="12.75">
      <c r="A137" s="50" t="s">
        <v>300</v>
      </c>
      <c r="B137" s="50" t="s">
        <v>252</v>
      </c>
      <c r="C137" s="51" t="s">
        <v>43</v>
      </c>
      <c r="D137" s="51">
        <v>286</v>
      </c>
      <c r="E137" s="51">
        <f t="shared" si="7"/>
        <v>35.75</v>
      </c>
      <c r="F137" s="180">
        <f>((81260.3671328671/1024/1024)*D137)/8</f>
        <v>2.7704793214797965</v>
      </c>
      <c r="G137" s="52">
        <f t="shared" si="8"/>
        <v>0.0027055462123826137</v>
      </c>
      <c r="H137" s="15"/>
      <c r="I137" s="9"/>
      <c r="J137" s="94"/>
      <c r="K137" s="51" t="s">
        <v>304</v>
      </c>
      <c r="L137" s="51" t="s">
        <v>44</v>
      </c>
    </row>
    <row r="138" spans="1:12" ht="13.5" thickBot="1">
      <c r="A138" s="58" t="s">
        <v>300</v>
      </c>
      <c r="B138" s="58" t="s">
        <v>315</v>
      </c>
      <c r="C138" s="59" t="s">
        <v>43</v>
      </c>
      <c r="D138" s="59">
        <v>572</v>
      </c>
      <c r="E138" s="59">
        <f>572/8</f>
        <v>71.5</v>
      </c>
      <c r="F138" s="185">
        <f>((59478.0915384615/1024/1024)*D138)/8</f>
        <v>4.05567507266998</v>
      </c>
      <c r="G138" s="60">
        <f t="shared" si="8"/>
        <v>0.0039606201881542775</v>
      </c>
      <c r="H138" s="18">
        <f>G138</f>
        <v>0.0039606201881542775</v>
      </c>
      <c r="I138" s="10"/>
      <c r="J138" s="61"/>
      <c r="K138" s="59" t="s">
        <v>304</v>
      </c>
      <c r="L138" s="59" t="s">
        <v>44</v>
      </c>
    </row>
    <row r="139" spans="1:10" ht="12.75">
      <c r="A139" s="62"/>
      <c r="B139" s="62"/>
      <c r="C139" s="5" t="s">
        <v>253</v>
      </c>
      <c r="D139" s="5"/>
      <c r="E139" s="5"/>
      <c r="F139" s="32">
        <f>SUM(F125:F138)</f>
        <v>57.26074127640006</v>
      </c>
      <c r="G139" s="32">
        <f t="shared" si="8"/>
        <v>0.055918692652734435</v>
      </c>
      <c r="H139" s="19">
        <f>SUM(H125:H138)</f>
        <v>0.03311607024632393</v>
      </c>
      <c r="J139" s="63">
        <f>SUM(J125:J138)</f>
        <v>0</v>
      </c>
    </row>
    <row r="140" spans="1:7" ht="12.75">
      <c r="A140" s="62"/>
      <c r="B140" s="62"/>
      <c r="F140" s="32"/>
      <c r="G140" s="32"/>
    </row>
    <row r="141" spans="1:7" ht="12.75">
      <c r="A141" s="62"/>
      <c r="B141" s="62"/>
      <c r="F141" s="32"/>
      <c r="G141" s="32"/>
    </row>
    <row r="142" spans="1:12" ht="12.75">
      <c r="A142" s="50" t="s">
        <v>25</v>
      </c>
      <c r="B142" s="95" t="s">
        <v>26</v>
      </c>
      <c r="C142" s="51" t="s">
        <v>43</v>
      </c>
      <c r="D142" s="51">
        <v>317</v>
      </c>
      <c r="E142" s="51">
        <f>317/8</f>
        <v>39.625</v>
      </c>
      <c r="F142" s="180">
        <f>((4043859.53312302/1024/1024)*D142)/8</f>
        <v>152.8148021697995</v>
      </c>
      <c r="G142" s="52">
        <f aca="true" t="shared" si="9" ref="G142:G147">F142/1024</f>
        <v>0.14923320524394482</v>
      </c>
      <c r="H142" s="15">
        <f>G142</f>
        <v>0.14923320524394482</v>
      </c>
      <c r="I142" s="9"/>
      <c r="J142" s="53"/>
      <c r="K142" s="51" t="s">
        <v>304</v>
      </c>
      <c r="L142" s="51" t="s">
        <v>44</v>
      </c>
    </row>
    <row r="143" spans="1:12" ht="12.75">
      <c r="A143" s="50" t="s">
        <v>25</v>
      </c>
      <c r="B143" s="50" t="s">
        <v>27</v>
      </c>
      <c r="C143" s="51" t="s">
        <v>43</v>
      </c>
      <c r="D143" s="51">
        <v>317</v>
      </c>
      <c r="E143" s="51">
        <f>317/8</f>
        <v>39.625</v>
      </c>
      <c r="F143" s="180">
        <f>((255508.895899053/1024/1024)*D143)/8</f>
        <v>9.655513763427711</v>
      </c>
      <c r="G143" s="52">
        <f t="shared" si="9"/>
        <v>0.009429212659597374</v>
      </c>
      <c r="H143" s="15"/>
      <c r="I143" s="9"/>
      <c r="J143" s="53"/>
      <c r="K143" s="51" t="s">
        <v>304</v>
      </c>
      <c r="L143" s="51" t="s">
        <v>44</v>
      </c>
    </row>
    <row r="144" spans="1:12" ht="12.75">
      <c r="A144" s="50" t="s">
        <v>25</v>
      </c>
      <c r="B144" s="50" t="s">
        <v>28</v>
      </c>
      <c r="C144" s="51" t="s">
        <v>43</v>
      </c>
      <c r="D144" s="51">
        <v>317</v>
      </c>
      <c r="E144" s="51">
        <f>317/8</f>
        <v>39.625</v>
      </c>
      <c r="F144" s="180">
        <f>((16709.8927444794/1024/1024)*D144)/8</f>
        <v>0.6314558982849084</v>
      </c>
      <c r="G144" s="52">
        <f t="shared" si="9"/>
        <v>0.0006166561506688559</v>
      </c>
      <c r="H144" s="15"/>
      <c r="I144" s="9"/>
      <c r="J144" s="53"/>
      <c r="K144" s="51" t="s">
        <v>304</v>
      </c>
      <c r="L144" s="51" t="s">
        <v>44</v>
      </c>
    </row>
    <row r="145" spans="1:12" ht="12.75">
      <c r="A145" s="50" t="s">
        <v>25</v>
      </c>
      <c r="B145" s="50" t="s">
        <v>29</v>
      </c>
      <c r="C145" s="51" t="s">
        <v>43</v>
      </c>
      <c r="D145" s="51">
        <v>317</v>
      </c>
      <c r="E145" s="51">
        <f>317/8</f>
        <v>39.625</v>
      </c>
      <c r="F145" s="180">
        <f>((16892.6151419558/1024/1024)*D145)/8</f>
        <v>0.6383608579635607</v>
      </c>
      <c r="G145" s="52">
        <f t="shared" si="9"/>
        <v>0.0006233992753550397</v>
      </c>
      <c r="H145" s="15"/>
      <c r="I145" s="9"/>
      <c r="J145" s="53"/>
      <c r="K145" s="51" t="s">
        <v>304</v>
      </c>
      <c r="L145" s="51" t="s">
        <v>44</v>
      </c>
    </row>
    <row r="146" spans="1:12" ht="13.5" thickBot="1">
      <c r="A146" s="58" t="s">
        <v>25</v>
      </c>
      <c r="B146" s="58" t="s">
        <v>315</v>
      </c>
      <c r="C146" s="59" t="s">
        <v>43</v>
      </c>
      <c r="D146" s="59">
        <v>317</v>
      </c>
      <c r="E146" s="59">
        <f>317/8</f>
        <v>39.625</v>
      </c>
      <c r="F146" s="185">
        <f>((35203.5078864353/1024/1024)*D146)/8</f>
        <v>1.3303174972534166</v>
      </c>
      <c r="G146" s="60">
        <f t="shared" si="9"/>
        <v>0.0012991381809115397</v>
      </c>
      <c r="H146" s="18">
        <f>G146</f>
        <v>0.0012991381809115397</v>
      </c>
      <c r="I146" s="10"/>
      <c r="J146" s="61"/>
      <c r="K146" s="59" t="s">
        <v>304</v>
      </c>
      <c r="L146" s="59" t="s">
        <v>44</v>
      </c>
    </row>
    <row r="147" spans="1:10" ht="12.75">
      <c r="A147" s="62"/>
      <c r="B147" s="62"/>
      <c r="C147" s="65" t="s">
        <v>309</v>
      </c>
      <c r="D147" s="65"/>
      <c r="E147" s="65"/>
      <c r="F147" s="32">
        <f>SUM(F142:F146)</f>
        <v>165.0704501867291</v>
      </c>
      <c r="G147" s="32">
        <f t="shared" si="9"/>
        <v>0.16120161151047763</v>
      </c>
      <c r="H147" s="19">
        <f>SUM(H142:H146)</f>
        <v>0.15053234342485636</v>
      </c>
      <c r="J147" s="63">
        <f>SUM(J142:J146)</f>
        <v>0</v>
      </c>
    </row>
    <row r="148" spans="1:7" ht="12.75">
      <c r="A148" s="62"/>
      <c r="B148" s="62"/>
      <c r="C148" s="65"/>
      <c r="D148" s="65"/>
      <c r="E148" s="65"/>
      <c r="F148" s="32"/>
      <c r="G148" s="32"/>
    </row>
    <row r="149" spans="1:7" ht="12.75">
      <c r="A149" s="62"/>
      <c r="B149" s="62"/>
      <c r="F149" s="32"/>
      <c r="G149" s="32"/>
    </row>
    <row r="150" spans="1:12" ht="12.75">
      <c r="A150" s="50" t="s">
        <v>254</v>
      </c>
      <c r="B150" s="50" t="s">
        <v>255</v>
      </c>
      <c r="C150" s="51" t="s">
        <v>43</v>
      </c>
      <c r="D150" s="51">
        <v>286</v>
      </c>
      <c r="E150" s="51">
        <f>286/8</f>
        <v>35.75</v>
      </c>
      <c r="F150" s="180">
        <f>((18839.7062937062/1024/1024)*D150)/8</f>
        <v>0.6423182487487761</v>
      </c>
      <c r="G150" s="52">
        <f aca="true" t="shared" si="10" ref="G150:G155">F150/1024</f>
        <v>0.0006272639147937266</v>
      </c>
      <c r="H150" s="15"/>
      <c r="I150" s="9"/>
      <c r="J150" s="53"/>
      <c r="K150" s="51" t="s">
        <v>256</v>
      </c>
      <c r="L150" s="51" t="s">
        <v>44</v>
      </c>
    </row>
    <row r="151" spans="1:12" ht="12.75">
      <c r="A151" s="50" t="s">
        <v>254</v>
      </c>
      <c r="B151" s="50" t="s">
        <v>257</v>
      </c>
      <c r="C151" s="51" t="s">
        <v>43</v>
      </c>
      <c r="D151" s="51">
        <v>286</v>
      </c>
      <c r="E151" s="51">
        <f>286/8</f>
        <v>35.75</v>
      </c>
      <c r="F151" s="180">
        <f>((20096.1503496503/1024/1024)*D151)/8</f>
        <v>0.6851552724838239</v>
      </c>
      <c r="G151" s="52">
        <f t="shared" si="10"/>
        <v>0.0006690969457849843</v>
      </c>
      <c r="H151" s="15"/>
      <c r="I151" s="9"/>
      <c r="J151" s="53"/>
      <c r="K151" s="51" t="s">
        <v>256</v>
      </c>
      <c r="L151" s="51" t="s">
        <v>44</v>
      </c>
    </row>
    <row r="152" spans="1:12" ht="12.75">
      <c r="A152" s="50" t="s">
        <v>254</v>
      </c>
      <c r="B152" s="95" t="s">
        <v>258</v>
      </c>
      <c r="C152" s="51" t="s">
        <v>43</v>
      </c>
      <c r="D152" s="51">
        <v>286</v>
      </c>
      <c r="E152" s="51">
        <f>286/8</f>
        <v>35.75</v>
      </c>
      <c r="F152" s="180">
        <f>((1183412.7027972/1024/1024)*D152)/8</f>
        <v>40.34710323810568</v>
      </c>
      <c r="G152" s="52">
        <f t="shared" si="10"/>
        <v>0.03940146800596258</v>
      </c>
      <c r="H152" s="15">
        <f>G152</f>
        <v>0.03940146800596258</v>
      </c>
      <c r="I152" s="9"/>
      <c r="J152" s="53"/>
      <c r="K152" s="51" t="s">
        <v>256</v>
      </c>
      <c r="L152" s="51" t="s">
        <v>44</v>
      </c>
    </row>
    <row r="153" spans="1:12" ht="12.75">
      <c r="A153" s="50" t="s">
        <v>254</v>
      </c>
      <c r="B153" s="95" t="s">
        <v>259</v>
      </c>
      <c r="C153" s="51" t="s">
        <v>43</v>
      </c>
      <c r="D153" s="51">
        <v>286</v>
      </c>
      <c r="E153" s="51">
        <f>286/8</f>
        <v>35.75</v>
      </c>
      <c r="F153" s="180">
        <f>((121646.43006993/1024/1024)*D153)/8</f>
        <v>4.147395968437192</v>
      </c>
      <c r="G153" s="52">
        <f t="shared" si="10"/>
        <v>0.0040501913754269455</v>
      </c>
      <c r="H153" s="15"/>
      <c r="I153" s="9"/>
      <c r="J153" s="94"/>
      <c r="K153" s="51" t="s">
        <v>256</v>
      </c>
      <c r="L153" s="51" t="s">
        <v>44</v>
      </c>
    </row>
    <row r="154" spans="1:12" ht="13.5" thickBot="1">
      <c r="A154" s="58" t="s">
        <v>254</v>
      </c>
      <c r="B154" s="58" t="s">
        <v>315</v>
      </c>
      <c r="C154" s="59" t="s">
        <v>43</v>
      </c>
      <c r="D154" s="59">
        <v>286</v>
      </c>
      <c r="E154" s="59">
        <f>286/8</f>
        <v>35.75</v>
      </c>
      <c r="F154" s="185">
        <f>((40536.8566433566/1024/1024)*D154)/8</f>
        <v>1.3820577859878527</v>
      </c>
      <c r="G154" s="60">
        <f t="shared" si="10"/>
        <v>0.0013496658066287624</v>
      </c>
      <c r="H154" s="18">
        <f>G154</f>
        <v>0.0013496658066287624</v>
      </c>
      <c r="I154" s="10"/>
      <c r="J154" s="61"/>
      <c r="K154" s="59" t="s">
        <v>260</v>
      </c>
      <c r="L154" s="59" t="s">
        <v>44</v>
      </c>
    </row>
    <row r="155" spans="1:10" ht="12.75">
      <c r="A155" s="62"/>
      <c r="B155" s="62"/>
      <c r="C155" s="5" t="s">
        <v>253</v>
      </c>
      <c r="D155" s="5"/>
      <c r="E155" s="5"/>
      <c r="F155" s="32">
        <f>SUM(F150:F154)</f>
        <v>47.20403051376333</v>
      </c>
      <c r="G155" s="32">
        <f t="shared" si="10"/>
        <v>0.046097686048597</v>
      </c>
      <c r="H155" s="19">
        <f>SUM(H150:H154)</f>
        <v>0.04075113381259134</v>
      </c>
      <c r="J155" s="63">
        <f>SUM(J150:J154)</f>
        <v>0</v>
      </c>
    </row>
    <row r="156" spans="1:7" ht="12.75">
      <c r="A156" s="62"/>
      <c r="B156" s="62"/>
      <c r="C156" s="5"/>
      <c r="D156" s="5"/>
      <c r="E156" s="5"/>
      <c r="F156" s="32"/>
      <c r="G156" s="32"/>
    </row>
    <row r="157" spans="1:12" ht="12.75">
      <c r="A157" s="50" t="s">
        <v>261</v>
      </c>
      <c r="B157" s="50" t="s">
        <v>262</v>
      </c>
      <c r="C157" s="51" t="s">
        <v>43</v>
      </c>
      <c r="D157" s="51">
        <v>310</v>
      </c>
      <c r="E157" s="51">
        <f>310/8</f>
        <v>38.75</v>
      </c>
      <c r="F157" s="180">
        <f>((15899.9808917197/1024/1024)*D157)/8</f>
        <v>0.5875818820515999</v>
      </c>
      <c r="G157" s="52">
        <f>F157/1024</f>
        <v>0.0005738104316910155</v>
      </c>
      <c r="H157" s="15"/>
      <c r="I157" s="9"/>
      <c r="J157" s="53"/>
      <c r="K157" s="51" t="s">
        <v>304</v>
      </c>
      <c r="L157" s="51" t="s">
        <v>44</v>
      </c>
    </row>
    <row r="158" spans="1:12" ht="12.75">
      <c r="A158" s="50" t="s">
        <v>261</v>
      </c>
      <c r="B158" s="95" t="s">
        <v>263</v>
      </c>
      <c r="C158" s="51" t="s">
        <v>43</v>
      </c>
      <c r="D158" s="51">
        <v>310</v>
      </c>
      <c r="E158" s="51">
        <f>310/8</f>
        <v>38.75</v>
      </c>
      <c r="F158" s="180">
        <f>((325499.748387096/1024/1024)*D158)/8</f>
        <v>12.028804063796969</v>
      </c>
      <c r="G158" s="52">
        <f>F158/1024</f>
        <v>0.011746878968551727</v>
      </c>
      <c r="H158" s="15"/>
      <c r="I158" s="9">
        <f>G158</f>
        <v>0.011746878968551727</v>
      </c>
      <c r="J158" s="53"/>
      <c r="K158" s="51" t="s">
        <v>304</v>
      </c>
      <c r="L158" s="51" t="s">
        <v>44</v>
      </c>
    </row>
    <row r="159" spans="1:12" ht="12.75">
      <c r="A159" s="50" t="s">
        <v>261</v>
      </c>
      <c r="B159" s="50" t="s">
        <v>264</v>
      </c>
      <c r="C159" s="51" t="s">
        <v>43</v>
      </c>
      <c r="D159" s="51">
        <v>310</v>
      </c>
      <c r="E159" s="51">
        <f>310/8</f>
        <v>38.75</v>
      </c>
      <c r="F159" s="180">
        <f>((79726.1516129032/1024/1024)*D159)/8</f>
        <v>2.946270346641539</v>
      </c>
      <c r="G159" s="52">
        <f>F159/1024</f>
        <v>0.002877217135392128</v>
      </c>
      <c r="H159" s="15"/>
      <c r="I159" s="9"/>
      <c r="J159" s="94"/>
      <c r="K159" s="51" t="s">
        <v>304</v>
      </c>
      <c r="L159" s="51" t="s">
        <v>44</v>
      </c>
    </row>
    <row r="160" spans="1:12" ht="13.5" thickBot="1">
      <c r="A160" s="58" t="s">
        <v>261</v>
      </c>
      <c r="B160" s="58" t="s">
        <v>315</v>
      </c>
      <c r="C160" s="59" t="s">
        <v>43</v>
      </c>
      <c r="D160" s="59">
        <v>310</v>
      </c>
      <c r="E160" s="59">
        <v>310</v>
      </c>
      <c r="F160" s="185">
        <f>((15654.3354838709/1024/1024)*D160)/8</f>
        <v>0.5785040855407689</v>
      </c>
      <c r="G160" s="60">
        <f>F160/1024</f>
        <v>0.0005649453960359072</v>
      </c>
      <c r="H160" s="18"/>
      <c r="I160" s="10">
        <f>G160</f>
        <v>0.0005649453960359072</v>
      </c>
      <c r="J160" s="61"/>
      <c r="K160" s="59" t="s">
        <v>304</v>
      </c>
      <c r="L160" s="59" t="s">
        <v>44</v>
      </c>
    </row>
    <row r="161" spans="1:10" ht="12.75">
      <c r="A161" s="62"/>
      <c r="B161" s="62"/>
      <c r="C161" s="5" t="s">
        <v>253</v>
      </c>
      <c r="D161" s="5"/>
      <c r="E161" s="5"/>
      <c r="F161" s="32">
        <f>SUM(F157:F160)</f>
        <v>16.141160378030875</v>
      </c>
      <c r="G161" s="32">
        <f>F161/1024</f>
        <v>0.015762851931670777</v>
      </c>
      <c r="I161" s="20">
        <f>SUM(I157:I160)</f>
        <v>0.012311824364587635</v>
      </c>
      <c r="J161" s="63">
        <f>SUM(J157:J160)</f>
        <v>0</v>
      </c>
    </row>
    <row r="162" spans="1:7" ht="12.75">
      <c r="A162" s="62"/>
      <c r="B162" s="62"/>
      <c r="C162" s="5"/>
      <c r="D162" s="5"/>
      <c r="E162" s="5"/>
      <c r="F162" s="32"/>
      <c r="G162" s="32"/>
    </row>
    <row r="163" spans="1:7" ht="12.75">
      <c r="A163" s="62"/>
      <c r="B163" s="62"/>
      <c r="C163" s="5"/>
      <c r="D163" s="5"/>
      <c r="E163" s="5"/>
      <c r="F163" s="32"/>
      <c r="G163" s="32"/>
    </row>
    <row r="164" spans="1:79" s="37" customFormat="1" ht="12.75">
      <c r="A164" s="41"/>
      <c r="B164" s="41"/>
      <c r="C164" s="35" t="s">
        <v>129</v>
      </c>
      <c r="D164" s="35"/>
      <c r="E164" s="35"/>
      <c r="F164" s="36">
        <f>F161+F155+F147+F139+F123</f>
        <v>4457.75060313148</v>
      </c>
      <c r="G164" s="36">
        <f>G161+G155+G147+G139+G123</f>
        <v>4.353272073370586</v>
      </c>
      <c r="H164" s="129">
        <f>H161+H155+H147+H139+H123</f>
        <v>4.267026534113099</v>
      </c>
      <c r="I164" s="137">
        <f>I161+I155+I147+I139+I123</f>
        <v>0.012311824364587635</v>
      </c>
      <c r="J164" s="36">
        <f>J161+J155+J147+J139+J123</f>
        <v>0</v>
      </c>
      <c r="K164" s="35"/>
      <c r="L164" s="35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:7" ht="12.75">
      <c r="A165" s="75"/>
      <c r="B165" s="75"/>
      <c r="C165" s="5"/>
      <c r="D165" s="5"/>
      <c r="E165" s="5"/>
      <c r="F165" s="32"/>
      <c r="G165" s="32"/>
    </row>
    <row r="166" spans="1:12" ht="12.75">
      <c r="A166" s="51" t="s">
        <v>52</v>
      </c>
      <c r="B166" s="51" t="s">
        <v>53</v>
      </c>
      <c r="C166" s="51" t="s">
        <v>54</v>
      </c>
      <c r="D166" s="51">
        <v>322</v>
      </c>
      <c r="E166" s="51">
        <f>322/8</f>
        <v>40.25</v>
      </c>
      <c r="F166" s="180">
        <f>((14281.35404/1024/1024)*D166)/8</f>
        <v>0.5481953621959686</v>
      </c>
      <c r="G166" s="52">
        <f>F166/1024</f>
        <v>0.0005353470333945006</v>
      </c>
      <c r="H166" s="15"/>
      <c r="I166" s="9"/>
      <c r="J166" s="179"/>
      <c r="K166" s="51" t="s">
        <v>40</v>
      </c>
      <c r="L166" s="51" t="s">
        <v>55</v>
      </c>
    </row>
    <row r="167" spans="1:12" ht="12.75">
      <c r="A167" s="51" t="s">
        <v>52</v>
      </c>
      <c r="B167" s="51" t="s">
        <v>56</v>
      </c>
      <c r="C167" s="51" t="s">
        <v>54</v>
      </c>
      <c r="D167" s="51">
        <v>322</v>
      </c>
      <c r="E167" s="51">
        <f aca="true" t="shared" si="11" ref="E167:E187">322/8</f>
        <v>40.25</v>
      </c>
      <c r="F167" s="180">
        <f>((20294.68323/1024/1024)*D167)/8</f>
        <v>0.7790193557810783</v>
      </c>
      <c r="G167" s="52">
        <f aca="true" t="shared" si="12" ref="G167:G187">F167/1024</f>
        <v>0.0007607610896299593</v>
      </c>
      <c r="H167" s="15"/>
      <c r="I167" s="9"/>
      <c r="J167" s="179"/>
      <c r="K167" s="51" t="s">
        <v>40</v>
      </c>
      <c r="L167" s="51" t="s">
        <v>55</v>
      </c>
    </row>
    <row r="168" spans="1:12" ht="12.75">
      <c r="A168" s="51" t="s">
        <v>52</v>
      </c>
      <c r="B168" s="51" t="s">
        <v>57</v>
      </c>
      <c r="C168" s="51" t="s">
        <v>54</v>
      </c>
      <c r="D168" s="51">
        <v>322</v>
      </c>
      <c r="E168" s="51">
        <f t="shared" si="11"/>
        <v>40.25</v>
      </c>
      <c r="F168" s="180">
        <f>((13901.9441/1024/1024)*D168)/8</f>
        <v>0.5336315632104874</v>
      </c>
      <c r="G168" s="52">
        <f t="shared" si="12"/>
        <v>0.0005211245734477416</v>
      </c>
      <c r="H168" s="15"/>
      <c r="I168" s="9"/>
      <c r="J168" s="179"/>
      <c r="K168" s="51" t="s">
        <v>40</v>
      </c>
      <c r="L168" s="51" t="s">
        <v>55</v>
      </c>
    </row>
    <row r="169" spans="1:12" ht="12.75">
      <c r="A169" s="51" t="s">
        <v>52</v>
      </c>
      <c r="B169" s="51" t="s">
        <v>58</v>
      </c>
      <c r="C169" s="51" t="s">
        <v>54</v>
      </c>
      <c r="D169" s="51">
        <v>322</v>
      </c>
      <c r="E169" s="51">
        <f t="shared" si="11"/>
        <v>40.25</v>
      </c>
      <c r="F169" s="180">
        <f>((13893.40062/1024/1024)*D169)/8</f>
        <v>0.533303618388176</v>
      </c>
      <c r="G169" s="52">
        <f t="shared" si="12"/>
        <v>0.0005208043148322031</v>
      </c>
      <c r="H169" s="15"/>
      <c r="I169" s="9"/>
      <c r="J169" s="179"/>
      <c r="K169" s="51" t="s">
        <v>40</v>
      </c>
      <c r="L169" s="51" t="s">
        <v>55</v>
      </c>
    </row>
    <row r="170" spans="1:12" ht="12.75">
      <c r="A170" s="51" t="s">
        <v>52</v>
      </c>
      <c r="B170" s="51" t="s">
        <v>59</v>
      </c>
      <c r="C170" s="51" t="s">
        <v>54</v>
      </c>
      <c r="D170" s="51">
        <v>322</v>
      </c>
      <c r="E170" s="51">
        <f t="shared" si="11"/>
        <v>40.25</v>
      </c>
      <c r="F170" s="180">
        <f>((20103.89752/1024/1024)*D170)/8</f>
        <v>0.771695971660614</v>
      </c>
      <c r="G170" s="52">
        <f t="shared" si="12"/>
        <v>0.0007536093473248183</v>
      </c>
      <c r="H170" s="15"/>
      <c r="I170" s="9"/>
      <c r="J170" s="179"/>
      <c r="K170" s="51" t="s">
        <v>40</v>
      </c>
      <c r="L170" s="51" t="s">
        <v>55</v>
      </c>
    </row>
    <row r="171" spans="1:12" ht="12.75">
      <c r="A171" s="51" t="s">
        <v>52</v>
      </c>
      <c r="B171" s="51" t="s">
        <v>60</v>
      </c>
      <c r="C171" s="51" t="s">
        <v>54</v>
      </c>
      <c r="D171" s="51">
        <v>322</v>
      </c>
      <c r="E171" s="51">
        <f t="shared" si="11"/>
        <v>40.25</v>
      </c>
      <c r="F171" s="180">
        <f>((13567.4472/1024/1024)*D171)/8</f>
        <v>0.5207917688369751</v>
      </c>
      <c r="G171" s="52">
        <f t="shared" si="12"/>
        <v>0.0005085857117548585</v>
      </c>
      <c r="H171" s="15"/>
      <c r="I171" s="9"/>
      <c r="J171" s="179"/>
      <c r="K171" s="51" t="s">
        <v>40</v>
      </c>
      <c r="L171" s="51" t="s">
        <v>55</v>
      </c>
    </row>
    <row r="172" spans="1:12" ht="12.75">
      <c r="A172" s="51" t="s">
        <v>52</v>
      </c>
      <c r="B172" s="99" t="s">
        <v>61</v>
      </c>
      <c r="C172" s="51" t="s">
        <v>54</v>
      </c>
      <c r="D172" s="51">
        <v>322</v>
      </c>
      <c r="E172" s="51">
        <f t="shared" si="11"/>
        <v>40.25</v>
      </c>
      <c r="F172" s="180">
        <f>((63251187.0838509/1024/1024)*D172)/8</f>
        <v>2427.921562314032</v>
      </c>
      <c r="G172" s="52">
        <f t="shared" si="12"/>
        <v>2.371017150697297</v>
      </c>
      <c r="H172" s="15">
        <f>G172</f>
        <v>2.371017150697297</v>
      </c>
      <c r="I172" s="9"/>
      <c r="J172" s="180">
        <f>G172</f>
        <v>2.371017150697297</v>
      </c>
      <c r="K172" s="51" t="s">
        <v>40</v>
      </c>
      <c r="L172" s="51" t="s">
        <v>55</v>
      </c>
    </row>
    <row r="173" spans="1:12" ht="12.75">
      <c r="A173" s="51" t="s">
        <v>52</v>
      </c>
      <c r="B173" s="51" t="s">
        <v>62</v>
      </c>
      <c r="C173" s="51" t="s">
        <v>54</v>
      </c>
      <c r="D173" s="51">
        <v>322</v>
      </c>
      <c r="E173" s="51">
        <f t="shared" si="11"/>
        <v>40.25</v>
      </c>
      <c r="F173" s="180">
        <f>((3731231.255/1024/1024)*D173)/8</f>
        <v>143.2247715127468</v>
      </c>
      <c r="G173" s="52">
        <f t="shared" si="12"/>
        <v>0.1398679409304168</v>
      </c>
      <c r="H173" s="15"/>
      <c r="I173" s="9"/>
      <c r="J173" s="179"/>
      <c r="K173" s="51" t="s">
        <v>40</v>
      </c>
      <c r="L173" s="51" t="s">
        <v>55</v>
      </c>
    </row>
    <row r="174" spans="1:12" ht="12.75">
      <c r="A174" s="51" t="s">
        <v>52</v>
      </c>
      <c r="B174" s="99" t="s">
        <v>63</v>
      </c>
      <c r="C174" s="51" t="s">
        <v>54</v>
      </c>
      <c r="D174" s="51">
        <v>322</v>
      </c>
      <c r="E174" s="51">
        <f t="shared" si="11"/>
        <v>40.25</v>
      </c>
      <c r="F174" s="180">
        <f>((1167078.47826086/1024/1024)*D174)/8</f>
        <v>44.79876399040186</v>
      </c>
      <c r="G174" s="52">
        <f t="shared" si="12"/>
        <v>0.043748792959376816</v>
      </c>
      <c r="H174" s="15">
        <f>G174</f>
        <v>0.043748792959376816</v>
      </c>
      <c r="I174" s="9"/>
      <c r="J174" s="180">
        <f>G174</f>
        <v>0.043748792959376816</v>
      </c>
      <c r="K174" s="51" t="s">
        <v>40</v>
      </c>
      <c r="L174" s="51" t="s">
        <v>55</v>
      </c>
    </row>
    <row r="175" spans="1:12" ht="12.75">
      <c r="A175" s="51" t="s">
        <v>52</v>
      </c>
      <c r="B175" s="51" t="s">
        <v>64</v>
      </c>
      <c r="C175" s="51" t="s">
        <v>54</v>
      </c>
      <c r="D175" s="51">
        <v>322</v>
      </c>
      <c r="E175" s="51">
        <f t="shared" si="11"/>
        <v>40.25</v>
      </c>
      <c r="F175" s="180">
        <f>((494145.8882/1024/1024)*D175)/8</f>
        <v>18.967983245897294</v>
      </c>
      <c r="G175" s="52">
        <f t="shared" si="12"/>
        <v>0.018523421138571576</v>
      </c>
      <c r="H175" s="15"/>
      <c r="I175" s="9"/>
      <c r="J175" s="181"/>
      <c r="K175" s="51" t="s">
        <v>40</v>
      </c>
      <c r="L175" s="51" t="s">
        <v>55</v>
      </c>
    </row>
    <row r="176" spans="1:12" ht="12.75">
      <c r="A176" s="51" t="s">
        <v>52</v>
      </c>
      <c r="B176" s="99" t="s">
        <v>65</v>
      </c>
      <c r="C176" s="51" t="s">
        <v>54</v>
      </c>
      <c r="D176" s="51">
        <v>322</v>
      </c>
      <c r="E176" s="51">
        <f t="shared" si="11"/>
        <v>40.25</v>
      </c>
      <c r="F176" s="180">
        <f>((39064186.3695652/1024/1024)*D176)/8</f>
        <v>1499.4940770864478</v>
      </c>
      <c r="G176" s="52">
        <f t="shared" si="12"/>
        <v>1.4643496846547341</v>
      </c>
      <c r="H176" s="15">
        <f>G176</f>
        <v>1.4643496846547341</v>
      </c>
      <c r="I176" s="9"/>
      <c r="J176" s="180">
        <f>G176</f>
        <v>1.4643496846547341</v>
      </c>
      <c r="K176" s="51" t="s">
        <v>40</v>
      </c>
      <c r="L176" s="51" t="s">
        <v>55</v>
      </c>
    </row>
    <row r="177" spans="1:12" ht="12.75">
      <c r="A177" s="51" t="s">
        <v>52</v>
      </c>
      <c r="B177" s="51" t="s">
        <v>66</v>
      </c>
      <c r="C177" s="51" t="s">
        <v>54</v>
      </c>
      <c r="D177" s="51">
        <v>322</v>
      </c>
      <c r="E177" s="51">
        <f t="shared" si="11"/>
        <v>40.25</v>
      </c>
      <c r="F177" s="180">
        <f>((2359129.255/1024/1024)*D177)/8</f>
        <v>90.55609942793846</v>
      </c>
      <c r="G177" s="52">
        <f t="shared" si="12"/>
        <v>0.08843369084759616</v>
      </c>
      <c r="H177" s="15"/>
      <c r="I177" s="9"/>
      <c r="J177" s="179"/>
      <c r="K177" s="51" t="s">
        <v>40</v>
      </c>
      <c r="L177" s="51" t="s">
        <v>55</v>
      </c>
    </row>
    <row r="178" spans="1:12" ht="12.75">
      <c r="A178" s="51" t="s">
        <v>52</v>
      </c>
      <c r="B178" s="99" t="s">
        <v>67</v>
      </c>
      <c r="C178" s="51" t="s">
        <v>54</v>
      </c>
      <c r="D178" s="51">
        <v>322</v>
      </c>
      <c r="E178" s="51">
        <f t="shared" si="11"/>
        <v>40.25</v>
      </c>
      <c r="F178" s="180">
        <f>((21507013.347826/1024/1024)*D178)/8</f>
        <v>825.5551216602292</v>
      </c>
      <c r="G178" s="52">
        <f t="shared" si="12"/>
        <v>0.8062061734963176</v>
      </c>
      <c r="H178" s="15">
        <f>G178</f>
        <v>0.8062061734963176</v>
      </c>
      <c r="I178" s="9"/>
      <c r="J178" s="180">
        <f>G178</f>
        <v>0.8062061734963176</v>
      </c>
      <c r="K178" s="51" t="s">
        <v>40</v>
      </c>
      <c r="L178" s="51" t="s">
        <v>55</v>
      </c>
    </row>
    <row r="179" spans="1:12" ht="12.75">
      <c r="A179" s="51" t="s">
        <v>52</v>
      </c>
      <c r="B179" s="51" t="s">
        <v>68</v>
      </c>
      <c r="C179" s="51" t="s">
        <v>54</v>
      </c>
      <c r="D179" s="51">
        <v>322</v>
      </c>
      <c r="E179" s="51">
        <f t="shared" si="11"/>
        <v>40.25</v>
      </c>
      <c r="F179" s="180">
        <f>((844900.2547/1024/1024)*D179)/8</f>
        <v>32.431826831507685</v>
      </c>
      <c r="G179" s="52">
        <f t="shared" si="12"/>
        <v>0.031671705890144224</v>
      </c>
      <c r="H179" s="15"/>
      <c r="I179" s="9"/>
      <c r="J179" s="179"/>
      <c r="K179" s="51" t="s">
        <v>40</v>
      </c>
      <c r="L179" s="51" t="s">
        <v>55</v>
      </c>
    </row>
    <row r="180" spans="1:12" ht="12.75">
      <c r="A180" s="51" t="s">
        <v>52</v>
      </c>
      <c r="B180" s="99" t="s">
        <v>69</v>
      </c>
      <c r="C180" s="51" t="s">
        <v>54</v>
      </c>
      <c r="D180" s="51">
        <v>322</v>
      </c>
      <c r="E180" s="51">
        <f t="shared" si="11"/>
        <v>40.25</v>
      </c>
      <c r="F180" s="180">
        <f>((16615504.3291925/1024/1024)*D180)/8</f>
        <v>637.7926342487317</v>
      </c>
      <c r="G180" s="52">
        <f t="shared" si="12"/>
        <v>0.622844369383527</v>
      </c>
      <c r="H180" s="15">
        <f>G180</f>
        <v>0.622844369383527</v>
      </c>
      <c r="I180" s="9"/>
      <c r="J180" s="180">
        <f>G180</f>
        <v>0.622844369383527</v>
      </c>
      <c r="K180" s="51" t="s">
        <v>40</v>
      </c>
      <c r="L180" s="51" t="s">
        <v>55</v>
      </c>
    </row>
    <row r="181" spans="1:12" ht="12.75">
      <c r="A181" s="51" t="s">
        <v>52</v>
      </c>
      <c r="B181" s="51" t="s">
        <v>70</v>
      </c>
      <c r="C181" s="51" t="s">
        <v>54</v>
      </c>
      <c r="D181" s="51">
        <v>322</v>
      </c>
      <c r="E181" s="51">
        <f t="shared" si="11"/>
        <v>40.25</v>
      </c>
      <c r="F181" s="180">
        <f>((3731229.255/1024/1024)*D181)/8</f>
        <v>143.22469474196433</v>
      </c>
      <c r="G181" s="52">
        <f t="shared" si="12"/>
        <v>0.13986786595894954</v>
      </c>
      <c r="H181" s="15"/>
      <c r="I181" s="9"/>
      <c r="J181" s="179"/>
      <c r="K181" s="51" t="s">
        <v>40</v>
      </c>
      <c r="L181" s="51" t="s">
        <v>55</v>
      </c>
    </row>
    <row r="182" spans="1:12" ht="12.75">
      <c r="A182" s="51" t="s">
        <v>52</v>
      </c>
      <c r="B182" s="99" t="s">
        <v>71</v>
      </c>
      <c r="C182" s="51" t="s">
        <v>54</v>
      </c>
      <c r="D182" s="51">
        <v>322</v>
      </c>
      <c r="E182" s="51">
        <f t="shared" si="11"/>
        <v>40.25</v>
      </c>
      <c r="F182" s="180">
        <f>((417335.7205/1024/1024)*D182)/8</f>
        <v>16.019594907879828</v>
      </c>
      <c r="G182" s="52">
        <f t="shared" si="12"/>
        <v>0.015644135652226394</v>
      </c>
      <c r="H182" s="15">
        <f>G182</f>
        <v>0.015644135652226394</v>
      </c>
      <c r="I182" s="9"/>
      <c r="J182" s="180">
        <f>G182</f>
        <v>0.015644135652226394</v>
      </c>
      <c r="K182" s="51" t="s">
        <v>40</v>
      </c>
      <c r="L182" s="51" t="s">
        <v>55</v>
      </c>
    </row>
    <row r="183" spans="1:12" ht="12.75">
      <c r="A183" s="51" t="s">
        <v>52</v>
      </c>
      <c r="B183" s="51" t="s">
        <v>225</v>
      </c>
      <c r="C183" s="51" t="s">
        <v>54</v>
      </c>
      <c r="D183" s="51">
        <v>322</v>
      </c>
      <c r="E183" s="51">
        <f t="shared" si="11"/>
        <v>40.25</v>
      </c>
      <c r="F183" s="180">
        <f>((494082.2547/1024/1024)*D183)/8</f>
        <v>18.965540649104117</v>
      </c>
      <c r="G183" s="52">
        <f t="shared" si="12"/>
        <v>0.01852103579014074</v>
      </c>
      <c r="H183" s="15"/>
      <c r="I183" s="9"/>
      <c r="J183" s="179"/>
      <c r="K183" s="51" t="s">
        <v>40</v>
      </c>
      <c r="L183" s="51" t="s">
        <v>55</v>
      </c>
    </row>
    <row r="184" spans="1:12" ht="12.75">
      <c r="A184" s="51" t="s">
        <v>52</v>
      </c>
      <c r="B184" s="99" t="s">
        <v>226</v>
      </c>
      <c r="C184" s="51" t="s">
        <v>54</v>
      </c>
      <c r="D184" s="51">
        <v>322</v>
      </c>
      <c r="E184" s="51">
        <f t="shared" si="11"/>
        <v>40.25</v>
      </c>
      <c r="F184" s="180">
        <f>((10546384.7732919/1024/1024)*D184)/8</f>
        <v>404.8271056413641</v>
      </c>
      <c r="G184" s="52">
        <f t="shared" si="12"/>
        <v>0.3953389703528946</v>
      </c>
      <c r="H184" s="15">
        <f>G184</f>
        <v>0.3953389703528946</v>
      </c>
      <c r="I184" s="9"/>
      <c r="J184" s="180">
        <f>G184</f>
        <v>0.3953389703528946</v>
      </c>
      <c r="K184" s="51" t="s">
        <v>40</v>
      </c>
      <c r="L184" s="51" t="s">
        <v>55</v>
      </c>
    </row>
    <row r="185" spans="1:12" ht="12.75">
      <c r="A185" s="51" t="s">
        <v>52</v>
      </c>
      <c r="B185" s="51" t="s">
        <v>227</v>
      </c>
      <c r="C185" s="51" t="s">
        <v>54</v>
      </c>
      <c r="D185" s="51">
        <v>322</v>
      </c>
      <c r="E185" s="51">
        <f t="shared" si="11"/>
        <v>40.25</v>
      </c>
      <c r="F185" s="180">
        <f>((2359127.255/1024/1024)*D185)/8</f>
        <v>90.55602265715599</v>
      </c>
      <c r="G185" s="52">
        <f t="shared" si="12"/>
        <v>0.0884336158761289</v>
      </c>
      <c r="H185" s="15"/>
      <c r="I185" s="9"/>
      <c r="J185" s="179"/>
      <c r="K185" s="51" t="s">
        <v>40</v>
      </c>
      <c r="L185" s="51" t="s">
        <v>55</v>
      </c>
    </row>
    <row r="186" spans="1:12" ht="12.75">
      <c r="A186" s="51" t="s">
        <v>52</v>
      </c>
      <c r="B186" s="99" t="s">
        <v>228</v>
      </c>
      <c r="C186" s="51" t="s">
        <v>54</v>
      </c>
      <c r="D186" s="51">
        <v>322</v>
      </c>
      <c r="E186" s="51">
        <f t="shared" si="11"/>
        <v>40.25</v>
      </c>
      <c r="F186" s="180">
        <f>((5581940.64906832/1024/1024)*D186)/8</f>
        <v>214.2649756669997</v>
      </c>
      <c r="G186" s="52">
        <f t="shared" si="12"/>
        <v>0.2092431402998044</v>
      </c>
      <c r="H186" s="15">
        <f>G186</f>
        <v>0.2092431402998044</v>
      </c>
      <c r="I186" s="9"/>
      <c r="J186" s="180">
        <f>G186</f>
        <v>0.2092431402998044</v>
      </c>
      <c r="K186" s="51" t="s">
        <v>40</v>
      </c>
      <c r="L186" s="51" t="s">
        <v>55</v>
      </c>
    </row>
    <row r="187" spans="1:12" ht="12.75">
      <c r="A187" s="51" t="s">
        <v>52</v>
      </c>
      <c r="B187" s="51" t="s">
        <v>229</v>
      </c>
      <c r="C187" s="51" t="s">
        <v>54</v>
      </c>
      <c r="D187" s="51">
        <v>322</v>
      </c>
      <c r="E187" s="51">
        <f t="shared" si="11"/>
        <v>40.25</v>
      </c>
      <c r="F187" s="180">
        <f>((844898.2547/1024/1024)*D187)/8</f>
        <v>32.431750060725214</v>
      </c>
      <c r="G187" s="52">
        <f t="shared" si="12"/>
        <v>0.03167163091867697</v>
      </c>
      <c r="H187" s="15"/>
      <c r="I187" s="9"/>
      <c r="J187" s="179"/>
      <c r="K187" s="51" t="s">
        <v>40</v>
      </c>
      <c r="L187" s="51" t="s">
        <v>55</v>
      </c>
    </row>
    <row r="188" spans="1:12" ht="13.5" thickBot="1">
      <c r="A188" s="58" t="s">
        <v>52</v>
      </c>
      <c r="B188" s="58" t="s">
        <v>315</v>
      </c>
      <c r="C188" s="59" t="s">
        <v>54</v>
      </c>
      <c r="D188" s="59">
        <v>1932</v>
      </c>
      <c r="E188" s="59">
        <f>1932/8</f>
        <v>241.5</v>
      </c>
      <c r="F188" s="185">
        <f>((17580.12112/1024/1024)*D188)/8</f>
        <v>4.048918962936401</v>
      </c>
      <c r="G188" s="60">
        <f>F188/1024</f>
        <v>0.003954022424742579</v>
      </c>
      <c r="H188" s="18">
        <f>G188</f>
        <v>0.003954022424742579</v>
      </c>
      <c r="I188" s="10"/>
      <c r="J188" s="182" t="s">
        <v>295</v>
      </c>
      <c r="K188" s="59" t="s">
        <v>40</v>
      </c>
      <c r="L188" s="59" t="s">
        <v>55</v>
      </c>
    </row>
    <row r="189" spans="1:10" ht="12.75">
      <c r="A189" s="62"/>
      <c r="B189" s="62"/>
      <c r="C189" s="65" t="s">
        <v>193</v>
      </c>
      <c r="D189" s="65"/>
      <c r="E189" s="65"/>
      <c r="F189" s="32">
        <f>SUM(F166:F188)</f>
        <v>6648.768081246135</v>
      </c>
      <c r="G189" s="66">
        <f>SUM(G166:G188)</f>
        <v>6.492937579341929</v>
      </c>
      <c r="H189" s="19">
        <f>SUM(H166:H188)</f>
        <v>5.93234643992092</v>
      </c>
      <c r="J189" s="63">
        <f>SUM(J166:J188)</f>
        <v>5.928392417496178</v>
      </c>
    </row>
    <row r="190" spans="1:5" ht="12.75">
      <c r="A190" s="62"/>
      <c r="B190" s="62"/>
      <c r="C190" s="73"/>
      <c r="D190" s="73"/>
      <c r="E190" s="73"/>
    </row>
    <row r="192" spans="1:79" s="37" customFormat="1" ht="12.75">
      <c r="A192" s="35"/>
      <c r="B192" s="35" t="s">
        <v>130</v>
      </c>
      <c r="C192" s="35"/>
      <c r="D192" s="35"/>
      <c r="E192" s="35"/>
      <c r="F192" s="36">
        <f>F189</f>
        <v>6648.768081246135</v>
      </c>
      <c r="G192" s="36">
        <f>G189</f>
        <v>6.492937579341929</v>
      </c>
      <c r="H192" s="129">
        <f>H189</f>
        <v>5.93234643992092</v>
      </c>
      <c r="I192" s="137">
        <f>I189</f>
        <v>0</v>
      </c>
      <c r="J192" s="36">
        <f>J189</f>
        <v>5.928392417496178</v>
      </c>
      <c r="K192" s="35"/>
      <c r="L192" s="35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</row>
    <row r="193" spans="1:7" ht="12.75">
      <c r="A193" s="8"/>
      <c r="B193" s="8"/>
      <c r="C193" s="8"/>
      <c r="D193" s="8"/>
      <c r="E193" s="8"/>
      <c r="G193" s="30"/>
    </row>
    <row r="194" spans="1:12" ht="12.75">
      <c r="A194" s="101" t="s">
        <v>230</v>
      </c>
      <c r="B194" s="95" t="s">
        <v>364</v>
      </c>
      <c r="C194" s="102" t="s">
        <v>365</v>
      </c>
      <c r="D194" s="102">
        <v>1</v>
      </c>
      <c r="E194" s="102">
        <f>1/8</f>
        <v>0.125</v>
      </c>
      <c r="F194" s="103">
        <f>(246231254/1024/1024)/8</f>
        <v>29.353052854537964</v>
      </c>
      <c r="G194" s="107">
        <f>F194/1024</f>
        <v>0.02866509067825973</v>
      </c>
      <c r="H194" s="15">
        <f>G194</f>
        <v>0.02866509067825973</v>
      </c>
      <c r="I194" s="9"/>
      <c r="J194" s="52">
        <f>G194</f>
        <v>0.02866509067825973</v>
      </c>
      <c r="K194" s="51" t="s">
        <v>40</v>
      </c>
      <c r="L194" s="102" t="s">
        <v>366</v>
      </c>
    </row>
    <row r="195" spans="1:12" ht="12.75">
      <c r="A195" s="101" t="s">
        <v>230</v>
      </c>
      <c r="B195" s="95" t="s">
        <v>171</v>
      </c>
      <c r="C195" s="102" t="s">
        <v>365</v>
      </c>
      <c r="D195" s="102">
        <v>1</v>
      </c>
      <c r="E195" s="102">
        <f aca="true" t="shared" si="13" ref="E195:E228">1/8</f>
        <v>0.125</v>
      </c>
      <c r="F195" s="103">
        <f>(287434305/1024/1024)/8</f>
        <v>34.26483929157257</v>
      </c>
      <c r="G195" s="107">
        <f aca="true" t="shared" si="14" ref="G195:G229">F195/1024</f>
        <v>0.03346175712067634</v>
      </c>
      <c r="H195" s="130"/>
      <c r="I195" s="9"/>
      <c r="J195" s="52">
        <f aca="true" t="shared" si="15" ref="J195:J228">G195</f>
        <v>0.03346175712067634</v>
      </c>
      <c r="K195" s="51" t="s">
        <v>40</v>
      </c>
      <c r="L195" s="102" t="s">
        <v>366</v>
      </c>
    </row>
    <row r="196" spans="1:12" ht="12.75">
      <c r="A196" s="101" t="s">
        <v>230</v>
      </c>
      <c r="B196" s="95" t="s">
        <v>316</v>
      </c>
      <c r="C196" s="102" t="s">
        <v>365</v>
      </c>
      <c r="D196" s="102">
        <v>1</v>
      </c>
      <c r="E196" s="102">
        <f t="shared" si="13"/>
        <v>0.125</v>
      </c>
      <c r="F196" s="103">
        <f>(258836283/1024/1024)/8</f>
        <v>30.85568940639496</v>
      </c>
      <c r="G196" s="107">
        <f t="shared" si="14"/>
        <v>0.030132509185932577</v>
      </c>
      <c r="H196" s="130"/>
      <c r="I196" s="9"/>
      <c r="J196" s="52">
        <f t="shared" si="15"/>
        <v>0.030132509185932577</v>
      </c>
      <c r="K196" s="51" t="s">
        <v>40</v>
      </c>
      <c r="L196" s="102" t="s">
        <v>366</v>
      </c>
    </row>
    <row r="197" spans="1:12" ht="12.75">
      <c r="A197" s="101" t="s">
        <v>230</v>
      </c>
      <c r="B197" s="95" t="s">
        <v>317</v>
      </c>
      <c r="C197" s="102" t="s">
        <v>365</v>
      </c>
      <c r="D197" s="102">
        <v>1</v>
      </c>
      <c r="E197" s="102">
        <f t="shared" si="13"/>
        <v>0.125</v>
      </c>
      <c r="F197" s="103">
        <f>(187650153/1024/1024)/8</f>
        <v>22.369641423225403</v>
      </c>
      <c r="G197" s="107">
        <f t="shared" si="14"/>
        <v>0.021845352952368557</v>
      </c>
      <c r="H197" s="130"/>
      <c r="I197" s="9"/>
      <c r="J197" s="52">
        <f t="shared" si="15"/>
        <v>0.021845352952368557</v>
      </c>
      <c r="K197" s="51" t="s">
        <v>40</v>
      </c>
      <c r="L197" s="102" t="s">
        <v>366</v>
      </c>
    </row>
    <row r="198" spans="1:12" ht="12.75">
      <c r="A198" s="101" t="s">
        <v>230</v>
      </c>
      <c r="B198" s="95" t="s">
        <v>318</v>
      </c>
      <c r="C198" s="102" t="s">
        <v>365</v>
      </c>
      <c r="D198" s="102">
        <v>1</v>
      </c>
      <c r="E198" s="102">
        <f t="shared" si="13"/>
        <v>0.125</v>
      </c>
      <c r="F198" s="103">
        <f>(311510323/1024/1024)/8</f>
        <v>37.13492429256439</v>
      </c>
      <c r="G198" s="107">
        <f t="shared" si="14"/>
        <v>0.036264574504457414</v>
      </c>
      <c r="H198" s="130"/>
      <c r="I198" s="9"/>
      <c r="J198" s="52">
        <f t="shared" si="15"/>
        <v>0.036264574504457414</v>
      </c>
      <c r="K198" s="51" t="s">
        <v>40</v>
      </c>
      <c r="L198" s="102" t="s">
        <v>366</v>
      </c>
    </row>
    <row r="199" spans="1:12" ht="12.75">
      <c r="A199" s="101" t="s">
        <v>230</v>
      </c>
      <c r="B199" s="95" t="s">
        <v>319</v>
      </c>
      <c r="C199" s="102" t="s">
        <v>365</v>
      </c>
      <c r="D199" s="102">
        <v>1</v>
      </c>
      <c r="E199" s="102">
        <f t="shared" si="13"/>
        <v>0.125</v>
      </c>
      <c r="F199" s="103">
        <f>(294445465/1024/1024)/8</f>
        <v>35.100634694099426</v>
      </c>
      <c r="G199" s="107">
        <f t="shared" si="14"/>
        <v>0.03427796356845647</v>
      </c>
      <c r="H199" s="130"/>
      <c r="I199" s="9"/>
      <c r="J199" s="52">
        <f t="shared" si="15"/>
        <v>0.03427796356845647</v>
      </c>
      <c r="K199" s="51" t="s">
        <v>40</v>
      </c>
      <c r="L199" s="102" t="s">
        <v>366</v>
      </c>
    </row>
    <row r="200" spans="1:12" ht="12.75">
      <c r="A200" s="101" t="s">
        <v>230</v>
      </c>
      <c r="B200" s="95" t="s">
        <v>320</v>
      </c>
      <c r="C200" s="102" t="s">
        <v>365</v>
      </c>
      <c r="D200" s="102">
        <v>1</v>
      </c>
      <c r="E200" s="102">
        <f t="shared" si="13"/>
        <v>0.125</v>
      </c>
      <c r="F200" s="103">
        <f>(212987047/1024/1024)/8</f>
        <v>25.390034556388855</v>
      </c>
      <c r="G200" s="107">
        <f t="shared" si="14"/>
        <v>0.02479495562147349</v>
      </c>
      <c r="H200" s="130"/>
      <c r="I200" s="9"/>
      <c r="J200" s="52">
        <f t="shared" si="15"/>
        <v>0.02479495562147349</v>
      </c>
      <c r="K200" s="51" t="s">
        <v>40</v>
      </c>
      <c r="L200" s="102" t="s">
        <v>366</v>
      </c>
    </row>
    <row r="201" spans="1:12" ht="12.75">
      <c r="A201" s="101" t="s">
        <v>230</v>
      </c>
      <c r="B201" s="95" t="s">
        <v>321</v>
      </c>
      <c r="C201" s="102" t="s">
        <v>365</v>
      </c>
      <c r="D201" s="102">
        <v>1</v>
      </c>
      <c r="E201" s="102">
        <f t="shared" si="13"/>
        <v>0.125</v>
      </c>
      <c r="F201" s="103">
        <f>(262325383/1024/1024)/8</f>
        <v>31.27162253856659</v>
      </c>
      <c r="G201" s="107">
        <f t="shared" si="14"/>
        <v>0.030538693885318935</v>
      </c>
      <c r="H201" s="130"/>
      <c r="I201" s="9"/>
      <c r="J201" s="52">
        <f t="shared" si="15"/>
        <v>0.030538693885318935</v>
      </c>
      <c r="K201" s="51" t="s">
        <v>40</v>
      </c>
      <c r="L201" s="102" t="s">
        <v>366</v>
      </c>
    </row>
    <row r="202" spans="1:12" ht="12.75">
      <c r="A202" s="101" t="s">
        <v>230</v>
      </c>
      <c r="B202" s="95" t="s">
        <v>322</v>
      </c>
      <c r="C202" s="102" t="s">
        <v>365</v>
      </c>
      <c r="D202" s="102">
        <v>1</v>
      </c>
      <c r="E202" s="102">
        <f t="shared" si="13"/>
        <v>0.125</v>
      </c>
      <c r="F202" s="103">
        <f>(236658025/1024/1024)/8</f>
        <v>28.211835026741028</v>
      </c>
      <c r="G202" s="107">
        <f t="shared" si="14"/>
        <v>0.027550620143301785</v>
      </c>
      <c r="H202" s="130"/>
      <c r="I202" s="9"/>
      <c r="J202" s="52">
        <f t="shared" si="15"/>
        <v>0.027550620143301785</v>
      </c>
      <c r="K202" s="51" t="s">
        <v>40</v>
      </c>
      <c r="L202" s="102" t="s">
        <v>366</v>
      </c>
    </row>
    <row r="203" spans="1:12" ht="12.75">
      <c r="A203" s="101" t="s">
        <v>230</v>
      </c>
      <c r="B203" s="95" t="s">
        <v>323</v>
      </c>
      <c r="C203" s="102" t="s">
        <v>365</v>
      </c>
      <c r="D203" s="102">
        <v>1</v>
      </c>
      <c r="E203" s="102">
        <f t="shared" si="13"/>
        <v>0.125</v>
      </c>
      <c r="F203" s="103">
        <f>(151542388/1024/1024)/8</f>
        <v>18.065260410308838</v>
      </c>
      <c r="G203" s="107">
        <f t="shared" si="14"/>
        <v>0.017641855869442225</v>
      </c>
      <c r="H203" s="130"/>
      <c r="I203" s="9"/>
      <c r="J203" s="52">
        <f t="shared" si="15"/>
        <v>0.017641855869442225</v>
      </c>
      <c r="K203" s="51" t="s">
        <v>40</v>
      </c>
      <c r="L203" s="102" t="s">
        <v>366</v>
      </c>
    </row>
    <row r="204" spans="1:12" ht="12.75">
      <c r="A204" s="101" t="s">
        <v>230</v>
      </c>
      <c r="B204" s="95" t="s">
        <v>324</v>
      </c>
      <c r="C204" s="102" t="s">
        <v>365</v>
      </c>
      <c r="D204" s="102">
        <v>1</v>
      </c>
      <c r="E204" s="102">
        <f t="shared" si="13"/>
        <v>0.125</v>
      </c>
      <c r="F204" s="103">
        <f>(276408683/1024/1024)/8</f>
        <v>32.95048272609711</v>
      </c>
      <c r="G204" s="107">
        <f t="shared" si="14"/>
        <v>0.032178205787204206</v>
      </c>
      <c r="H204" s="130"/>
      <c r="I204" s="9"/>
      <c r="J204" s="52">
        <f t="shared" si="15"/>
        <v>0.032178205787204206</v>
      </c>
      <c r="K204" s="51" t="s">
        <v>40</v>
      </c>
      <c r="L204" s="102" t="s">
        <v>366</v>
      </c>
    </row>
    <row r="205" spans="1:12" ht="12.75">
      <c r="A205" s="101" t="s">
        <v>230</v>
      </c>
      <c r="B205" s="95" t="s">
        <v>325</v>
      </c>
      <c r="C205" s="102" t="s">
        <v>365</v>
      </c>
      <c r="D205" s="102">
        <v>1</v>
      </c>
      <c r="E205" s="102">
        <f t="shared" si="13"/>
        <v>0.125</v>
      </c>
      <c r="F205" s="103">
        <f>(253702206/1024/1024)/8</f>
        <v>30.243659734725952</v>
      </c>
      <c r="G205" s="107">
        <f t="shared" si="14"/>
        <v>0.029534823959693313</v>
      </c>
      <c r="H205" s="130"/>
      <c r="I205" s="9"/>
      <c r="J205" s="52">
        <f t="shared" si="15"/>
        <v>0.029534823959693313</v>
      </c>
      <c r="K205" s="51" t="s">
        <v>40</v>
      </c>
      <c r="L205" s="102" t="s">
        <v>366</v>
      </c>
    </row>
    <row r="206" spans="1:12" ht="12.75">
      <c r="A206" s="101" t="s">
        <v>230</v>
      </c>
      <c r="B206" s="95" t="s">
        <v>118</v>
      </c>
      <c r="C206" s="102" t="s">
        <v>365</v>
      </c>
      <c r="D206" s="102">
        <v>1</v>
      </c>
      <c r="E206" s="102">
        <f t="shared" si="13"/>
        <v>0.125</v>
      </c>
      <c r="F206" s="103">
        <f>(178810241/1024/1024)/8</f>
        <v>21.315841794013977</v>
      </c>
      <c r="G206" s="107">
        <f t="shared" si="14"/>
        <v>0.020816251751966774</v>
      </c>
      <c r="H206" s="130"/>
      <c r="I206" s="9"/>
      <c r="J206" s="52">
        <f t="shared" si="15"/>
        <v>0.020816251751966774</v>
      </c>
      <c r="K206" s="51" t="s">
        <v>40</v>
      </c>
      <c r="L206" s="102" t="s">
        <v>366</v>
      </c>
    </row>
    <row r="207" spans="1:12" ht="12.75">
      <c r="A207" s="101" t="s">
        <v>230</v>
      </c>
      <c r="B207" s="95" t="s">
        <v>119</v>
      </c>
      <c r="C207" s="102" t="s">
        <v>365</v>
      </c>
      <c r="D207" s="102">
        <v>1</v>
      </c>
      <c r="E207" s="102">
        <f t="shared" si="13"/>
        <v>0.125</v>
      </c>
      <c r="F207" s="103">
        <f>(314323284/1024/1024)/8</f>
        <v>37.47025537490845</v>
      </c>
      <c r="G207" s="107">
        <f t="shared" si="14"/>
        <v>0.03659204626455903</v>
      </c>
      <c r="H207" s="130"/>
      <c r="I207" s="9"/>
      <c r="J207" s="52">
        <f t="shared" si="15"/>
        <v>0.03659204626455903</v>
      </c>
      <c r="K207" s="51" t="s">
        <v>40</v>
      </c>
      <c r="L207" s="102" t="s">
        <v>366</v>
      </c>
    </row>
    <row r="208" spans="1:12" ht="12.75">
      <c r="A208" s="101" t="s">
        <v>230</v>
      </c>
      <c r="B208" s="95" t="s">
        <v>120</v>
      </c>
      <c r="C208" s="102" t="s">
        <v>365</v>
      </c>
      <c r="D208" s="102">
        <v>1</v>
      </c>
      <c r="E208" s="102">
        <f t="shared" si="13"/>
        <v>0.125</v>
      </c>
      <c r="F208" s="103">
        <f>(296392651/1024/1024)/8</f>
        <v>35.332757353782654</v>
      </c>
      <c r="G208" s="107">
        <f t="shared" si="14"/>
        <v>0.03450464585330337</v>
      </c>
      <c r="H208" s="130"/>
      <c r="I208" s="9"/>
      <c r="J208" s="52">
        <f t="shared" si="15"/>
        <v>0.03450464585330337</v>
      </c>
      <c r="K208" s="51" t="s">
        <v>40</v>
      </c>
      <c r="L208" s="102" t="s">
        <v>366</v>
      </c>
    </row>
    <row r="209" spans="1:12" ht="12.75">
      <c r="A209" s="101" t="s">
        <v>230</v>
      </c>
      <c r="B209" s="95" t="s">
        <v>195</v>
      </c>
      <c r="C209" s="102" t="s">
        <v>365</v>
      </c>
      <c r="D209" s="102">
        <v>1</v>
      </c>
      <c r="E209" s="102">
        <f t="shared" si="13"/>
        <v>0.125</v>
      </c>
      <c r="F209" s="103">
        <f>(221286624/1024/1024)/8</f>
        <v>26.37942123413086</v>
      </c>
      <c r="G209" s="107">
        <f t="shared" si="14"/>
        <v>0.025761153548955917</v>
      </c>
      <c r="H209" s="130"/>
      <c r="I209" s="9"/>
      <c r="J209" s="52">
        <f t="shared" si="15"/>
        <v>0.025761153548955917</v>
      </c>
      <c r="K209" s="51" t="s">
        <v>40</v>
      </c>
      <c r="L209" s="102" t="s">
        <v>366</v>
      </c>
    </row>
    <row r="210" spans="1:12" ht="12.75">
      <c r="A210" s="101" t="s">
        <v>230</v>
      </c>
      <c r="B210" s="95" t="s">
        <v>196</v>
      </c>
      <c r="C210" s="102" t="s">
        <v>365</v>
      </c>
      <c r="D210" s="102">
        <v>1</v>
      </c>
      <c r="E210" s="102">
        <f t="shared" si="13"/>
        <v>0.125</v>
      </c>
      <c r="F210" s="103">
        <f>(306900909/1024/1024)/8</f>
        <v>36.58543932437897</v>
      </c>
      <c r="G210" s="107">
        <f t="shared" si="14"/>
        <v>0.035727968090213835</v>
      </c>
      <c r="H210" s="130"/>
      <c r="I210" s="9"/>
      <c r="J210" s="52">
        <f t="shared" si="15"/>
        <v>0.035727968090213835</v>
      </c>
      <c r="K210" s="51" t="s">
        <v>40</v>
      </c>
      <c r="L210" s="102" t="s">
        <v>366</v>
      </c>
    </row>
    <row r="211" spans="1:12" ht="12.75">
      <c r="A211" s="101" t="s">
        <v>230</v>
      </c>
      <c r="B211" s="95" t="s">
        <v>197</v>
      </c>
      <c r="C211" s="102" t="s">
        <v>365</v>
      </c>
      <c r="D211" s="102">
        <v>1</v>
      </c>
      <c r="E211" s="102">
        <f t="shared" si="13"/>
        <v>0.125</v>
      </c>
      <c r="F211" s="103">
        <f>(285648128/1024/1027)/8</f>
        <v>33.95244036027264</v>
      </c>
      <c r="G211" s="107">
        <f t="shared" si="14"/>
        <v>0.03315668003932875</v>
      </c>
      <c r="H211" s="130"/>
      <c r="I211" s="9"/>
      <c r="J211" s="52">
        <f t="shared" si="15"/>
        <v>0.03315668003932875</v>
      </c>
      <c r="K211" s="51" t="s">
        <v>40</v>
      </c>
      <c r="L211" s="102" t="s">
        <v>366</v>
      </c>
    </row>
    <row r="212" spans="1:12" ht="12.75">
      <c r="A212" s="101" t="s">
        <v>230</v>
      </c>
      <c r="B212" s="95" t="s">
        <v>198</v>
      </c>
      <c r="C212" s="102" t="s">
        <v>365</v>
      </c>
      <c r="D212" s="102">
        <v>1</v>
      </c>
      <c r="E212" s="102">
        <f t="shared" si="13"/>
        <v>0.125</v>
      </c>
      <c r="F212" s="103">
        <f>(215444279/1024/1024)/8</f>
        <v>25.6829594373703</v>
      </c>
      <c r="G212" s="107">
        <f t="shared" si="14"/>
        <v>0.025081015075556934</v>
      </c>
      <c r="H212" s="130"/>
      <c r="I212" s="9"/>
      <c r="J212" s="52">
        <f t="shared" si="15"/>
        <v>0.025081015075556934</v>
      </c>
      <c r="K212" s="51" t="s">
        <v>40</v>
      </c>
      <c r="L212" s="102" t="s">
        <v>366</v>
      </c>
    </row>
    <row r="213" spans="1:12" ht="12.75">
      <c r="A213" s="101" t="s">
        <v>230</v>
      </c>
      <c r="B213" s="95" t="s">
        <v>199</v>
      </c>
      <c r="C213" s="102" t="s">
        <v>365</v>
      </c>
      <c r="D213" s="102">
        <v>1</v>
      </c>
      <c r="E213" s="102">
        <f t="shared" si="13"/>
        <v>0.125</v>
      </c>
      <c r="F213" s="103">
        <f>(292935459/1024/1024)/8</f>
        <v>34.92062795162201</v>
      </c>
      <c r="G213" s="107">
        <f t="shared" si="14"/>
        <v>0.03410217573400587</v>
      </c>
      <c r="H213" s="130"/>
      <c r="I213" s="9"/>
      <c r="J213" s="52">
        <f t="shared" si="15"/>
        <v>0.03410217573400587</v>
      </c>
      <c r="K213" s="51" t="s">
        <v>40</v>
      </c>
      <c r="L213" s="102" t="s">
        <v>366</v>
      </c>
    </row>
    <row r="214" spans="1:12" ht="12.75">
      <c r="A214" s="101" t="s">
        <v>230</v>
      </c>
      <c r="B214" s="95" t="s">
        <v>200</v>
      </c>
      <c r="C214" s="102" t="s">
        <v>365</v>
      </c>
      <c r="D214" s="102">
        <v>1</v>
      </c>
      <c r="E214" s="102">
        <f t="shared" si="13"/>
        <v>0.125</v>
      </c>
      <c r="F214" s="103">
        <f>(261587396/1024/1024)/8</f>
        <v>31.183647632598877</v>
      </c>
      <c r="G214" s="107">
        <f t="shared" si="14"/>
        <v>0.03045278089120984</v>
      </c>
      <c r="H214" s="130"/>
      <c r="I214" s="9"/>
      <c r="J214" s="52">
        <f t="shared" si="15"/>
        <v>0.03045278089120984</v>
      </c>
      <c r="K214" s="51" t="s">
        <v>40</v>
      </c>
      <c r="L214" s="102" t="s">
        <v>366</v>
      </c>
    </row>
    <row r="215" spans="1:12" ht="12.75">
      <c r="A215" s="101" t="s">
        <v>230</v>
      </c>
      <c r="B215" s="95" t="s">
        <v>245</v>
      </c>
      <c r="C215" s="102" t="s">
        <v>365</v>
      </c>
      <c r="D215" s="102">
        <v>1</v>
      </c>
      <c r="E215" s="102">
        <f t="shared" si="13"/>
        <v>0.125</v>
      </c>
      <c r="F215" s="103">
        <f>(205397927/1024/1024)/8</f>
        <v>24.48534095287323</v>
      </c>
      <c r="G215" s="107">
        <f t="shared" si="14"/>
        <v>0.023911465774290264</v>
      </c>
      <c r="H215" s="130"/>
      <c r="I215" s="9"/>
      <c r="J215" s="52">
        <f t="shared" si="15"/>
        <v>0.023911465774290264</v>
      </c>
      <c r="K215" s="51" t="s">
        <v>40</v>
      </c>
      <c r="L215" s="102" t="s">
        <v>366</v>
      </c>
    </row>
    <row r="216" spans="1:12" ht="12.75">
      <c r="A216" s="101" t="s">
        <v>230</v>
      </c>
      <c r="B216" s="95" t="s">
        <v>246</v>
      </c>
      <c r="C216" s="102" t="s">
        <v>365</v>
      </c>
      <c r="D216" s="102">
        <v>1</v>
      </c>
      <c r="E216" s="102">
        <f t="shared" si="13"/>
        <v>0.125</v>
      </c>
      <c r="F216" s="103">
        <f>(269632142/1024/1024)/8</f>
        <v>32.142656087875366</v>
      </c>
      <c r="G216" s="107">
        <f t="shared" si="14"/>
        <v>0.03138931258581579</v>
      </c>
      <c r="H216" s="130"/>
      <c r="I216" s="9"/>
      <c r="J216" s="52">
        <f t="shared" si="15"/>
        <v>0.03138931258581579</v>
      </c>
      <c r="K216" s="51" t="s">
        <v>40</v>
      </c>
      <c r="L216" s="102" t="s">
        <v>366</v>
      </c>
    </row>
    <row r="217" spans="1:12" ht="12.75">
      <c r="A217" s="101" t="s">
        <v>230</v>
      </c>
      <c r="B217" s="95" t="s">
        <v>341</v>
      </c>
      <c r="C217" s="102" t="s">
        <v>365</v>
      </c>
      <c r="D217" s="102">
        <v>1</v>
      </c>
      <c r="E217" s="102">
        <f t="shared" si="13"/>
        <v>0.125</v>
      </c>
      <c r="F217" s="103">
        <f>(246288726/1024/1024)/8</f>
        <v>29.359904050827026</v>
      </c>
      <c r="G217" s="107">
        <f t="shared" si="14"/>
        <v>0.028671781299635768</v>
      </c>
      <c r="H217" s="130"/>
      <c r="I217" s="9"/>
      <c r="J217" s="52">
        <f t="shared" si="15"/>
        <v>0.028671781299635768</v>
      </c>
      <c r="K217" s="51" t="s">
        <v>40</v>
      </c>
      <c r="L217" s="102" t="s">
        <v>366</v>
      </c>
    </row>
    <row r="218" spans="1:12" ht="12.75">
      <c r="A218" s="101" t="s">
        <v>230</v>
      </c>
      <c r="B218" s="95" t="s">
        <v>342</v>
      </c>
      <c r="C218" s="102" t="s">
        <v>365</v>
      </c>
      <c r="D218" s="102">
        <v>1</v>
      </c>
      <c r="E218" s="102">
        <f t="shared" si="13"/>
        <v>0.125</v>
      </c>
      <c r="F218" s="103">
        <f>(175939227/1024/1024)/8</f>
        <v>20.97359025478363</v>
      </c>
      <c r="G218" s="107">
        <f t="shared" si="14"/>
        <v>0.02048202173318714</v>
      </c>
      <c r="H218" s="130"/>
      <c r="I218" s="9"/>
      <c r="J218" s="52">
        <f t="shared" si="15"/>
        <v>0.02048202173318714</v>
      </c>
      <c r="K218" s="51" t="s">
        <v>40</v>
      </c>
      <c r="L218" s="102" t="s">
        <v>366</v>
      </c>
    </row>
    <row r="219" spans="1:12" ht="12.75">
      <c r="A219" s="101" t="s">
        <v>230</v>
      </c>
      <c r="B219" s="95" t="s">
        <v>330</v>
      </c>
      <c r="C219" s="102" t="s">
        <v>365</v>
      </c>
      <c r="D219" s="102">
        <v>1</v>
      </c>
      <c r="E219" s="102">
        <f t="shared" si="13"/>
        <v>0.125</v>
      </c>
      <c r="F219" s="103">
        <f>(295061740/1024/1024)/8</f>
        <v>35.174100399017334</v>
      </c>
      <c r="G219" s="107">
        <f t="shared" si="14"/>
        <v>0.034349707420915365</v>
      </c>
      <c r="H219" s="130"/>
      <c r="I219" s="9"/>
      <c r="J219" s="52">
        <f t="shared" si="15"/>
        <v>0.034349707420915365</v>
      </c>
      <c r="K219" s="51" t="s">
        <v>40</v>
      </c>
      <c r="L219" s="102" t="s">
        <v>366</v>
      </c>
    </row>
    <row r="220" spans="1:12" ht="12.75">
      <c r="A220" s="101" t="s">
        <v>230</v>
      </c>
      <c r="B220" s="95" t="s">
        <v>331</v>
      </c>
      <c r="C220" s="102" t="s">
        <v>365</v>
      </c>
      <c r="D220" s="102">
        <v>1</v>
      </c>
      <c r="E220" s="102">
        <f t="shared" si="13"/>
        <v>0.125</v>
      </c>
      <c r="F220" s="103">
        <f>(284224431/1024/1024)/8</f>
        <v>33.882192492485046</v>
      </c>
      <c r="G220" s="107">
        <f t="shared" si="14"/>
        <v>0.03308807860594243</v>
      </c>
      <c r="H220" s="130"/>
      <c r="I220" s="9"/>
      <c r="J220" s="52">
        <f t="shared" si="15"/>
        <v>0.03308807860594243</v>
      </c>
      <c r="K220" s="51" t="s">
        <v>40</v>
      </c>
      <c r="L220" s="102" t="s">
        <v>366</v>
      </c>
    </row>
    <row r="221" spans="1:12" ht="12.75">
      <c r="A221" s="101" t="s">
        <v>230</v>
      </c>
      <c r="B221" s="95" t="s">
        <v>332</v>
      </c>
      <c r="C221" s="102" t="s">
        <v>365</v>
      </c>
      <c r="D221" s="102">
        <v>1</v>
      </c>
      <c r="E221" s="102">
        <f t="shared" si="13"/>
        <v>0.125</v>
      </c>
      <c r="F221" s="103">
        <f>(209820650/1024/1024)/8</f>
        <v>25.01257061958313</v>
      </c>
      <c r="G221" s="107">
        <f t="shared" si="14"/>
        <v>0.02442633849568665</v>
      </c>
      <c r="H221" s="130"/>
      <c r="I221" s="9"/>
      <c r="J221" s="52">
        <f t="shared" si="15"/>
        <v>0.02442633849568665</v>
      </c>
      <c r="K221" s="51" t="s">
        <v>40</v>
      </c>
      <c r="L221" s="102" t="s">
        <v>366</v>
      </c>
    </row>
    <row r="222" spans="1:12" ht="12.75">
      <c r="A222" s="101" t="s">
        <v>230</v>
      </c>
      <c r="B222" s="95" t="s">
        <v>333</v>
      </c>
      <c r="C222" s="102" t="s">
        <v>365</v>
      </c>
      <c r="D222" s="102">
        <v>1</v>
      </c>
      <c r="E222" s="102">
        <f t="shared" si="13"/>
        <v>0.125</v>
      </c>
      <c r="F222" s="103">
        <f>(272256369/1024/1024)/8</f>
        <v>32.455488324165344</v>
      </c>
      <c r="G222" s="107">
        <f t="shared" si="14"/>
        <v>0.03169481281656772</v>
      </c>
      <c r="H222" s="130"/>
      <c r="I222" s="9"/>
      <c r="J222" s="52">
        <f t="shared" si="15"/>
        <v>0.03169481281656772</v>
      </c>
      <c r="K222" s="51" t="s">
        <v>40</v>
      </c>
      <c r="L222" s="102" t="s">
        <v>366</v>
      </c>
    </row>
    <row r="223" spans="1:12" ht="12.75">
      <c r="A223" s="101" t="s">
        <v>230</v>
      </c>
      <c r="B223" s="95" t="s">
        <v>334</v>
      </c>
      <c r="C223" s="102" t="s">
        <v>365</v>
      </c>
      <c r="D223" s="102">
        <v>1</v>
      </c>
      <c r="E223" s="102">
        <f t="shared" si="13"/>
        <v>0.125</v>
      </c>
      <c r="F223" s="103">
        <f>(262746620/1024/1024)/8</f>
        <v>31.321837902069092</v>
      </c>
      <c r="G223" s="107">
        <f t="shared" si="14"/>
        <v>0.030587732326239347</v>
      </c>
      <c r="H223" s="130"/>
      <c r="I223" s="9"/>
      <c r="J223" s="52">
        <f t="shared" si="15"/>
        <v>0.030587732326239347</v>
      </c>
      <c r="K223" s="51" t="s">
        <v>40</v>
      </c>
      <c r="L223" s="102" t="s">
        <v>366</v>
      </c>
    </row>
    <row r="224" spans="1:12" ht="12.75">
      <c r="A224" s="101" t="s">
        <v>230</v>
      </c>
      <c r="B224" s="95" t="s">
        <v>335</v>
      </c>
      <c r="C224" s="102" t="s">
        <v>365</v>
      </c>
      <c r="D224" s="102">
        <v>1</v>
      </c>
      <c r="E224" s="102">
        <f t="shared" si="13"/>
        <v>0.125</v>
      </c>
      <c r="F224" s="103">
        <f>(192756515/1024/1024)/8</f>
        <v>22.97836720943451</v>
      </c>
      <c r="G224" s="107">
        <f t="shared" si="14"/>
        <v>0.022439811727963388</v>
      </c>
      <c r="H224" s="130"/>
      <c r="I224" s="9"/>
      <c r="J224" s="52">
        <f t="shared" si="15"/>
        <v>0.022439811727963388</v>
      </c>
      <c r="K224" s="51" t="s">
        <v>40</v>
      </c>
      <c r="L224" s="102" t="s">
        <v>366</v>
      </c>
    </row>
    <row r="225" spans="1:12" ht="12.75">
      <c r="A225" s="101" t="s">
        <v>230</v>
      </c>
      <c r="B225" s="95" t="s">
        <v>336</v>
      </c>
      <c r="C225" s="102" t="s">
        <v>365</v>
      </c>
      <c r="D225" s="102">
        <v>1</v>
      </c>
      <c r="E225" s="102">
        <f t="shared" si="13"/>
        <v>0.125</v>
      </c>
      <c r="F225" s="103">
        <f>(32609250/1024/1024)/8</f>
        <v>3.8873255252838135</v>
      </c>
      <c r="G225" s="107">
        <f t="shared" si="14"/>
        <v>0.003796216333284974</v>
      </c>
      <c r="H225" s="130"/>
      <c r="I225" s="9"/>
      <c r="J225" s="52">
        <f t="shared" si="15"/>
        <v>0.003796216333284974</v>
      </c>
      <c r="K225" s="51" t="s">
        <v>40</v>
      </c>
      <c r="L225" s="102" t="s">
        <v>366</v>
      </c>
    </row>
    <row r="226" spans="1:12" ht="12.75">
      <c r="A226" s="101" t="s">
        <v>230</v>
      </c>
      <c r="B226" s="95" t="s">
        <v>45</v>
      </c>
      <c r="C226" s="102" t="s">
        <v>365</v>
      </c>
      <c r="D226" s="102">
        <v>1</v>
      </c>
      <c r="E226" s="102">
        <f t="shared" si="13"/>
        <v>0.125</v>
      </c>
      <c r="F226" s="103">
        <f>(18301333/1024/1024)/8</f>
        <v>2.181688904762268</v>
      </c>
      <c r="G226" s="107">
        <f t="shared" si="14"/>
        <v>0.0021305555710569024</v>
      </c>
      <c r="H226" s="130"/>
      <c r="I226" s="9"/>
      <c r="J226" s="52">
        <f t="shared" si="15"/>
        <v>0.0021305555710569024</v>
      </c>
      <c r="K226" s="51" t="s">
        <v>40</v>
      </c>
      <c r="L226" s="102" t="s">
        <v>366</v>
      </c>
    </row>
    <row r="227" spans="1:12" ht="12.75">
      <c r="A227" s="101" t="s">
        <v>230</v>
      </c>
      <c r="B227" s="95" t="s">
        <v>46</v>
      </c>
      <c r="C227" s="102" t="s">
        <v>365</v>
      </c>
      <c r="D227" s="102">
        <v>1</v>
      </c>
      <c r="E227" s="102">
        <f t="shared" si="13"/>
        <v>0.125</v>
      </c>
      <c r="F227" s="103">
        <f>(36945165/1024/1024)/8</f>
        <v>4.404206871986389</v>
      </c>
      <c r="G227" s="107">
        <f t="shared" si="14"/>
        <v>0.004300983273424208</v>
      </c>
      <c r="H227" s="130"/>
      <c r="I227" s="9"/>
      <c r="J227" s="52">
        <f t="shared" si="15"/>
        <v>0.004300983273424208</v>
      </c>
      <c r="K227" s="51" t="s">
        <v>40</v>
      </c>
      <c r="L227" s="102" t="s">
        <v>366</v>
      </c>
    </row>
    <row r="228" spans="1:12" ht="12.75">
      <c r="A228" s="101" t="s">
        <v>230</v>
      </c>
      <c r="B228" s="95" t="s">
        <v>47</v>
      </c>
      <c r="C228" s="102" t="s">
        <v>365</v>
      </c>
      <c r="D228" s="102">
        <v>1</v>
      </c>
      <c r="E228" s="102">
        <f t="shared" si="13"/>
        <v>0.125</v>
      </c>
      <c r="F228" s="103">
        <f>(19774326/1024/1024)/8</f>
        <v>2.357283353805542</v>
      </c>
      <c r="G228" s="107">
        <f t="shared" si="14"/>
        <v>0.0023020345252007246</v>
      </c>
      <c r="H228" s="130"/>
      <c r="I228" s="9"/>
      <c r="J228" s="52">
        <f t="shared" si="15"/>
        <v>0.0023020345252007246</v>
      </c>
      <c r="K228" s="51" t="s">
        <v>40</v>
      </c>
      <c r="L228" s="102" t="s">
        <v>366</v>
      </c>
    </row>
    <row r="229" spans="1:12" ht="13.5" thickBot="1">
      <c r="A229" s="104" t="s">
        <v>230</v>
      </c>
      <c r="B229" s="96" t="s">
        <v>367</v>
      </c>
      <c r="C229" s="105" t="s">
        <v>365</v>
      </c>
      <c r="D229" s="105">
        <v>1</v>
      </c>
      <c r="E229" s="105">
        <f>1/8</f>
        <v>0.125</v>
      </c>
      <c r="F229" s="106">
        <f>(219654065/1024/1024)/8</f>
        <v>26.184805035591125</v>
      </c>
      <c r="G229" s="108">
        <f t="shared" si="14"/>
        <v>0.02557109866756946</v>
      </c>
      <c r="H229" s="18">
        <f>G229</f>
        <v>0.02557109866756946</v>
      </c>
      <c r="I229" s="10"/>
      <c r="J229" s="60">
        <f>G229</f>
        <v>0.02557109866756946</v>
      </c>
      <c r="K229" s="59" t="s">
        <v>40</v>
      </c>
      <c r="L229" s="105" t="s">
        <v>366</v>
      </c>
    </row>
    <row r="230" spans="1:10" ht="12.75">
      <c r="A230" s="8"/>
      <c r="B230" s="8"/>
      <c r="C230" s="8" t="s">
        <v>193</v>
      </c>
      <c r="D230" s="8"/>
      <c r="E230" s="8"/>
      <c r="G230" s="30">
        <f>SUM(G194:G229)</f>
        <v>0.9422230716824654</v>
      </c>
      <c r="H230" s="19">
        <f>SUM(H194:H229)</f>
        <v>0.05423618934582919</v>
      </c>
      <c r="J230" s="30">
        <f>SUM(J194:J229)</f>
        <v>0.9422230716824654</v>
      </c>
    </row>
    <row r="231" spans="1:7" ht="12.75">
      <c r="A231" s="8"/>
      <c r="B231" s="8"/>
      <c r="C231" s="8"/>
      <c r="D231" s="8"/>
      <c r="E231" s="8"/>
      <c r="G231" s="30"/>
    </row>
    <row r="232" spans="1:12" ht="12.75">
      <c r="A232" s="101" t="s">
        <v>146</v>
      </c>
      <c r="B232" s="95" t="s">
        <v>147</v>
      </c>
      <c r="C232" s="102" t="s">
        <v>365</v>
      </c>
      <c r="D232" s="102">
        <v>1</v>
      </c>
      <c r="E232" s="102">
        <f>1/8</f>
        <v>0.125</v>
      </c>
      <c r="F232" s="177">
        <f>(189805218/1024/1024)/8</f>
        <v>22.626545190811157</v>
      </c>
      <c r="G232" s="26">
        <f>F232/1024</f>
        <v>0.02209623553790152</v>
      </c>
      <c r="H232" s="15">
        <f>G232</f>
        <v>0.02209623553790152</v>
      </c>
      <c r="I232" s="9"/>
      <c r="J232" s="52">
        <f>G232</f>
        <v>0.02209623553790152</v>
      </c>
      <c r="K232" s="102" t="s">
        <v>40</v>
      </c>
      <c r="L232" s="102" t="s">
        <v>366</v>
      </c>
    </row>
    <row r="233" spans="1:12" ht="13.5" thickBot="1">
      <c r="A233" s="104" t="s">
        <v>146</v>
      </c>
      <c r="B233" s="96" t="s">
        <v>148</v>
      </c>
      <c r="C233" s="105" t="s">
        <v>365</v>
      </c>
      <c r="D233" s="105">
        <v>1</v>
      </c>
      <c r="E233" s="105">
        <f>1/8</f>
        <v>0.125</v>
      </c>
      <c r="F233" s="178">
        <f>(88292026/1024/1024)/8</f>
        <v>10.525229692459106</v>
      </c>
      <c r="G233" s="27">
        <f>F233/1024</f>
        <v>0.010278544621542096</v>
      </c>
      <c r="H233" s="18">
        <f>G233</f>
        <v>0.010278544621542096</v>
      </c>
      <c r="I233" s="10"/>
      <c r="J233" s="60">
        <f>G233</f>
        <v>0.010278544621542096</v>
      </c>
      <c r="K233" s="59" t="s">
        <v>40</v>
      </c>
      <c r="L233" s="105" t="s">
        <v>366</v>
      </c>
    </row>
    <row r="234" spans="1:10" ht="12.75">
      <c r="A234" s="8"/>
      <c r="B234" s="8"/>
      <c r="C234" s="8" t="s">
        <v>193</v>
      </c>
      <c r="D234" s="8"/>
      <c r="E234" s="8"/>
      <c r="G234" s="30">
        <f>SUM(G232:G233)</f>
        <v>0.03237478015944362</v>
      </c>
      <c r="H234" s="19">
        <f>SUM(H232:H233)</f>
        <v>0.03237478015944362</v>
      </c>
      <c r="J234" s="63">
        <f>SUM(J232:J233)</f>
        <v>0.03237478015944362</v>
      </c>
    </row>
    <row r="235" spans="1:7" ht="12.75">
      <c r="A235" s="8"/>
      <c r="B235" s="8"/>
      <c r="C235" s="8"/>
      <c r="D235" s="8"/>
      <c r="E235" s="8"/>
      <c r="G235" s="30"/>
    </row>
    <row r="236" spans="1:79" s="37" customFormat="1" ht="12.75">
      <c r="A236" s="35"/>
      <c r="B236" s="35" t="s">
        <v>149</v>
      </c>
      <c r="C236" s="35"/>
      <c r="D236" s="35"/>
      <c r="E236" s="35"/>
      <c r="F236" s="36">
        <f>F233</f>
        <v>10.525229692459106</v>
      </c>
      <c r="G236" s="36">
        <f>G234+G230</f>
        <v>0.9745978518419091</v>
      </c>
      <c r="H236" s="129">
        <f>H234+H230</f>
        <v>0.0866109695052728</v>
      </c>
      <c r="I236" s="137">
        <f>I234+I230</f>
        <v>0</v>
      </c>
      <c r="J236" s="36">
        <f>J234+J230</f>
        <v>0.9745978518419091</v>
      </c>
      <c r="K236" s="35"/>
      <c r="L236" s="35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</row>
    <row r="237" spans="1:7" ht="12.75">
      <c r="A237" s="8"/>
      <c r="B237" s="8"/>
      <c r="C237" s="8"/>
      <c r="D237" s="8"/>
      <c r="E237" s="8"/>
      <c r="G237" s="30"/>
    </row>
    <row r="238" spans="1:7" ht="12.75">
      <c r="A238" s="8"/>
      <c r="B238" s="8"/>
      <c r="C238" s="8"/>
      <c r="D238" s="8"/>
      <c r="E238" s="8"/>
      <c r="G238" s="30"/>
    </row>
    <row r="239" spans="1:12" ht="12.75">
      <c r="A239" s="50" t="s">
        <v>265</v>
      </c>
      <c r="B239" s="50" t="s">
        <v>266</v>
      </c>
      <c r="C239" s="51" t="s">
        <v>267</v>
      </c>
      <c r="D239" s="51">
        <v>286</v>
      </c>
      <c r="E239" s="51">
        <f>286/16</f>
        <v>17.875</v>
      </c>
      <c r="F239" s="180">
        <f>((16130.4825174825/1024/1024)*D239)/16</f>
        <v>0.27497518062591525</v>
      </c>
      <c r="G239" s="52">
        <f aca="true" t="shared" si="16" ref="G239:G244">F239/1024</f>
        <v>0.00026853044982999536</v>
      </c>
      <c r="H239" s="15"/>
      <c r="I239" s="9"/>
      <c r="J239" s="179"/>
      <c r="K239" s="51" t="s">
        <v>304</v>
      </c>
      <c r="L239" s="51" t="s">
        <v>268</v>
      </c>
    </row>
    <row r="240" spans="1:12" ht="12.75">
      <c r="A240" s="50" t="s">
        <v>265</v>
      </c>
      <c r="B240" s="50" t="s">
        <v>269</v>
      </c>
      <c r="C240" s="51" t="s">
        <v>270</v>
      </c>
      <c r="D240" s="51">
        <v>286</v>
      </c>
      <c r="E240" s="51">
        <f>286/16</f>
        <v>17.875</v>
      </c>
      <c r="F240" s="180">
        <f>((15875.3916083916/1024/1024)*D240)/16</f>
        <v>0.27062666416168196</v>
      </c>
      <c r="G240" s="52">
        <f t="shared" si="16"/>
        <v>0.00026428385172039254</v>
      </c>
      <c r="H240" s="15"/>
      <c r="I240" s="9"/>
      <c r="J240" s="179"/>
      <c r="K240" s="51" t="s">
        <v>304</v>
      </c>
      <c r="L240" s="51" t="s">
        <v>268</v>
      </c>
    </row>
    <row r="241" spans="1:12" ht="12.75">
      <c r="A241" s="50" t="s">
        <v>265</v>
      </c>
      <c r="B241" s="95" t="s">
        <v>271</v>
      </c>
      <c r="C241" s="51" t="s">
        <v>272</v>
      </c>
      <c r="D241" s="51">
        <v>286</v>
      </c>
      <c r="E241" s="51">
        <f>286/16</f>
        <v>17.875</v>
      </c>
      <c r="F241" s="180">
        <f>((29870923.8846153/1024/1024)*D241)/16</f>
        <v>509.2075008749947</v>
      </c>
      <c r="G241" s="52">
        <f t="shared" si="16"/>
        <v>0.497272950073237</v>
      </c>
      <c r="H241" s="15">
        <f>G241</f>
        <v>0.497272950073237</v>
      </c>
      <c r="I241" s="9"/>
      <c r="J241" s="179"/>
      <c r="K241" s="51" t="s">
        <v>304</v>
      </c>
      <c r="L241" s="51" t="s">
        <v>268</v>
      </c>
    </row>
    <row r="242" spans="1:12" ht="12.75">
      <c r="A242" s="50" t="s">
        <v>273</v>
      </c>
      <c r="B242" s="95" t="s">
        <v>274</v>
      </c>
      <c r="C242" s="51" t="s">
        <v>272</v>
      </c>
      <c r="D242" s="51">
        <v>288</v>
      </c>
      <c r="E242" s="51">
        <f>288/16</f>
        <v>18</v>
      </c>
      <c r="F242" s="180">
        <f>((97477364.3412162/1024/1024)*D242)/16</f>
        <v>1673.309858457462</v>
      </c>
      <c r="G242" s="52">
        <f t="shared" si="16"/>
        <v>1.6340916586498653</v>
      </c>
      <c r="H242" s="15">
        <f>G242</f>
        <v>1.6340916586498653</v>
      </c>
      <c r="I242" s="9"/>
      <c r="J242" s="179"/>
      <c r="K242" s="51" t="s">
        <v>304</v>
      </c>
      <c r="L242" s="51" t="s">
        <v>268</v>
      </c>
    </row>
    <row r="243" spans="1:12" ht="13.5" thickBot="1">
      <c r="A243" s="58" t="s">
        <v>265</v>
      </c>
      <c r="B243" s="58" t="s">
        <v>315</v>
      </c>
      <c r="C243" s="59" t="s">
        <v>272</v>
      </c>
      <c r="D243" s="59">
        <v>286</v>
      </c>
      <c r="E243" s="59">
        <f>286/16</f>
        <v>17.875</v>
      </c>
      <c r="F243" s="185">
        <f>((33606.8741258741/1024/1024)*D243)/16</f>
        <v>0.5728939771652217</v>
      </c>
      <c r="G243" s="60">
        <f t="shared" si="16"/>
        <v>0.0005594667745754118</v>
      </c>
      <c r="H243" s="18">
        <f>G243</f>
        <v>0.0005594667745754118</v>
      </c>
      <c r="I243" s="10"/>
      <c r="J243" s="182" t="s">
        <v>295</v>
      </c>
      <c r="K243" s="59" t="s">
        <v>304</v>
      </c>
      <c r="L243" s="59" t="s">
        <v>268</v>
      </c>
    </row>
    <row r="244" spans="1:10" ht="12.75">
      <c r="A244" s="62"/>
      <c r="B244" s="62"/>
      <c r="C244" s="65" t="s">
        <v>193</v>
      </c>
      <c r="D244" s="65"/>
      <c r="E244" s="65"/>
      <c r="F244" s="32">
        <f>SUM(F239:F243)</f>
        <v>2183.6358551544095</v>
      </c>
      <c r="G244" s="66">
        <f t="shared" si="16"/>
        <v>2.132456889799228</v>
      </c>
      <c r="H244" s="19">
        <f>SUM(H239:H243)</f>
        <v>2.1319240754976776</v>
      </c>
      <c r="J244" s="63">
        <f>SUM(J239:J243)</f>
        <v>0</v>
      </c>
    </row>
    <row r="247" spans="1:12" ht="12.75">
      <c r="A247" s="50" t="s">
        <v>275</v>
      </c>
      <c r="B247" s="50" t="s">
        <v>276</v>
      </c>
      <c r="C247" s="51" t="s">
        <v>272</v>
      </c>
      <c r="D247" s="51">
        <v>286</v>
      </c>
      <c r="E247" s="102">
        <v>17.875</v>
      </c>
      <c r="F247" s="180">
        <f>((16130.4825174825/1024/1024)*D247)/16</f>
        <v>0.27497518062591525</v>
      </c>
      <c r="G247" s="52">
        <f aca="true" t="shared" si="17" ref="G247:G252">F247/1024</f>
        <v>0.00026853044982999536</v>
      </c>
      <c r="H247" s="15"/>
      <c r="I247" s="9"/>
      <c r="J247" s="179"/>
      <c r="K247" s="51" t="s">
        <v>304</v>
      </c>
      <c r="L247" s="51" t="s">
        <v>268</v>
      </c>
    </row>
    <row r="248" spans="1:12" ht="12.75">
      <c r="A248" s="50" t="s">
        <v>275</v>
      </c>
      <c r="B248" s="50" t="s">
        <v>277</v>
      </c>
      <c r="C248" s="51" t="s">
        <v>272</v>
      </c>
      <c r="D248" s="51">
        <v>286</v>
      </c>
      <c r="E248" s="102">
        <v>17.875</v>
      </c>
      <c r="F248" s="180">
        <f>((15875.3916083916/1024/1024)*D248)/16</f>
        <v>0.27062666416168196</v>
      </c>
      <c r="G248" s="52">
        <f t="shared" si="17"/>
        <v>0.00026428385172039254</v>
      </c>
      <c r="H248" s="15"/>
      <c r="I248" s="9"/>
      <c r="J248" s="179"/>
      <c r="K248" s="51" t="s">
        <v>304</v>
      </c>
      <c r="L248" s="51" t="s">
        <v>268</v>
      </c>
    </row>
    <row r="249" spans="1:12" ht="12.75">
      <c r="A249" s="50" t="s">
        <v>275</v>
      </c>
      <c r="B249" s="95" t="s">
        <v>278</v>
      </c>
      <c r="C249" s="51" t="s">
        <v>272</v>
      </c>
      <c r="D249" s="51">
        <v>286</v>
      </c>
      <c r="E249" s="102">
        <v>17.875</v>
      </c>
      <c r="F249" s="180">
        <f>((9002908.34965034/1024/1024)*D249)/16</f>
        <v>153.47193408012373</v>
      </c>
      <c r="G249" s="52">
        <f t="shared" si="17"/>
        <v>0.14987493562512083</v>
      </c>
      <c r="H249" s="15">
        <f>G249</f>
        <v>0.14987493562512083</v>
      </c>
      <c r="I249" s="9"/>
      <c r="J249" s="179"/>
      <c r="K249" s="51" t="s">
        <v>304</v>
      </c>
      <c r="L249" s="51" t="s">
        <v>268</v>
      </c>
    </row>
    <row r="250" spans="1:12" ht="12.75">
      <c r="A250" s="50" t="s">
        <v>275</v>
      </c>
      <c r="B250" s="50" t="s">
        <v>279</v>
      </c>
      <c r="C250" s="51" t="s">
        <v>272</v>
      </c>
      <c r="D250" s="51">
        <v>286</v>
      </c>
      <c r="E250" s="102">
        <v>17.875</v>
      </c>
      <c r="F250" s="180">
        <f>((520192.93006993/1024/1024)*D250)/16</f>
        <v>8.867691636085508</v>
      </c>
      <c r="G250" s="52">
        <f t="shared" si="17"/>
        <v>0.008659855113364754</v>
      </c>
      <c r="H250" s="15"/>
      <c r="I250" s="9"/>
      <c r="J250" s="181"/>
      <c r="K250" s="51" t="s">
        <v>304</v>
      </c>
      <c r="L250" s="51" t="s">
        <v>268</v>
      </c>
    </row>
    <row r="251" spans="1:12" ht="13.5" thickBot="1">
      <c r="A251" s="58" t="s">
        <v>275</v>
      </c>
      <c r="B251" s="58" t="s">
        <v>315</v>
      </c>
      <c r="C251" s="59" t="s">
        <v>272</v>
      </c>
      <c r="D251" s="59">
        <v>286</v>
      </c>
      <c r="E251" s="59">
        <f>286/16</f>
        <v>17.875</v>
      </c>
      <c r="F251" s="185">
        <f>((33606.8741258741/1024/1024)*D251)/16</f>
        <v>0.5728939771652217</v>
      </c>
      <c r="G251" s="60">
        <f t="shared" si="17"/>
        <v>0.0005594667745754118</v>
      </c>
      <c r="H251" s="18">
        <f>G251</f>
        <v>0.0005594667745754118</v>
      </c>
      <c r="I251" s="10"/>
      <c r="J251" s="182" t="s">
        <v>295</v>
      </c>
      <c r="K251" s="59" t="s">
        <v>304</v>
      </c>
      <c r="L251" s="59" t="s">
        <v>268</v>
      </c>
    </row>
    <row r="252" spans="1:10" ht="12.75">
      <c r="A252" s="62"/>
      <c r="B252" s="62"/>
      <c r="C252" s="5" t="s">
        <v>253</v>
      </c>
      <c r="D252" s="5"/>
      <c r="E252" s="5"/>
      <c r="F252" s="32">
        <f>SUM(F247:F251)</f>
        <v>163.45812153816206</v>
      </c>
      <c r="G252" s="32">
        <f t="shared" si="17"/>
        <v>0.1596270718146114</v>
      </c>
      <c r="H252" s="19">
        <f>SUM(H247:H251)</f>
        <v>0.15043440239969624</v>
      </c>
      <c r="J252" s="63">
        <f>SUM(J247:J251)</f>
        <v>0</v>
      </c>
    </row>
    <row r="253" spans="1:7" ht="12.75">
      <c r="A253" s="62"/>
      <c r="B253" s="62"/>
      <c r="C253" s="5"/>
      <c r="D253" s="5"/>
      <c r="E253" s="5"/>
      <c r="F253" s="32"/>
      <c r="G253" s="32"/>
    </row>
    <row r="255" spans="1:79" s="37" customFormat="1" ht="12.75">
      <c r="A255" s="35"/>
      <c r="B255" s="35"/>
      <c r="C255" s="35" t="s">
        <v>131</v>
      </c>
      <c r="D255" s="35"/>
      <c r="E255" s="35"/>
      <c r="F255" s="36">
        <f>F252+F244</f>
        <v>2347.0939766925717</v>
      </c>
      <c r="G255" s="36">
        <f>G252+G244</f>
        <v>2.2920839616138395</v>
      </c>
      <c r="H255" s="129">
        <f>H252+H244</f>
        <v>2.282358477897374</v>
      </c>
      <c r="I255" s="137">
        <f>I252+I244</f>
        <v>0</v>
      </c>
      <c r="J255" s="36">
        <f>J252+J244</f>
        <v>0</v>
      </c>
      <c r="K255" s="35"/>
      <c r="L255" s="3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</row>
    <row r="256" spans="1:7" ht="12.75">
      <c r="A256" s="8"/>
      <c r="B256" s="8"/>
      <c r="C256" s="8"/>
      <c r="D256" s="8"/>
      <c r="E256" s="8"/>
      <c r="G256" s="30"/>
    </row>
    <row r="257" spans="1:12" ht="12.75">
      <c r="A257" s="76" t="s">
        <v>280</v>
      </c>
      <c r="B257" s="95" t="s">
        <v>281</v>
      </c>
      <c r="C257" s="51" t="s">
        <v>272</v>
      </c>
      <c r="D257" s="51">
        <v>288</v>
      </c>
      <c r="E257" s="51">
        <f>288/16</f>
        <v>18</v>
      </c>
      <c r="F257" s="180">
        <f>((120376059.600694/1024/1024)*D257)/16</f>
        <v>2066.3920143246573</v>
      </c>
      <c r="G257" s="52">
        <f>F257/1024</f>
        <v>2.017960951488923</v>
      </c>
      <c r="H257" s="15"/>
      <c r="I257" s="9"/>
      <c r="J257" s="179"/>
      <c r="K257" s="2" t="s">
        <v>304</v>
      </c>
      <c r="L257" s="2" t="s">
        <v>282</v>
      </c>
    </row>
    <row r="258" spans="1:12" ht="12.75">
      <c r="A258" s="76" t="s">
        <v>280</v>
      </c>
      <c r="B258" s="95" t="s">
        <v>283</v>
      </c>
      <c r="C258" s="51" t="s">
        <v>272</v>
      </c>
      <c r="D258" s="51">
        <v>288</v>
      </c>
      <c r="E258" s="51">
        <f>288/16</f>
        <v>18</v>
      </c>
      <c r="F258" s="180">
        <f>((82497882.7361111/1024/1024)*D258)/16</f>
        <v>1416.1700146198273</v>
      </c>
      <c r="G258" s="52">
        <f>F258/1024</f>
        <v>1.382978529902175</v>
      </c>
      <c r="H258" s="15"/>
      <c r="I258" s="9"/>
      <c r="J258" s="179"/>
      <c r="K258" s="2" t="s">
        <v>304</v>
      </c>
      <c r="L258" s="2" t="s">
        <v>282</v>
      </c>
    </row>
    <row r="259" spans="1:12" ht="13.5" thickBot="1">
      <c r="A259" s="77" t="s">
        <v>280</v>
      </c>
      <c r="B259" s="58" t="s">
        <v>284</v>
      </c>
      <c r="C259" s="59" t="s">
        <v>272</v>
      </c>
      <c r="D259" s="59">
        <v>288</v>
      </c>
      <c r="E259" s="59">
        <f>288/16</f>
        <v>18</v>
      </c>
      <c r="F259" s="185">
        <f>((38506.1076388888/1024/1024)*D259)/16</f>
        <v>0.6610011458396897</v>
      </c>
      <c r="G259" s="60">
        <f>F259/1024</f>
        <v>0.000645508931484072</v>
      </c>
      <c r="H259" s="18"/>
      <c r="I259" s="10"/>
      <c r="J259" s="182"/>
      <c r="K259" s="6" t="s">
        <v>304</v>
      </c>
      <c r="L259" s="6" t="s">
        <v>282</v>
      </c>
    </row>
    <row r="260" spans="1:12" ht="12.75">
      <c r="A260" s="4"/>
      <c r="B260" s="4"/>
      <c r="C260" s="5" t="s">
        <v>253</v>
      </c>
      <c r="D260" s="5"/>
      <c r="E260" s="5"/>
      <c r="F260" s="32">
        <f>SUM(F257:F259)</f>
        <v>3483.2230300903243</v>
      </c>
      <c r="G260" s="32">
        <f>F260/1024</f>
        <v>3.4015849903225823</v>
      </c>
      <c r="H260" s="28"/>
      <c r="I260" s="29"/>
      <c r="J260" s="63">
        <f>SUM(J257:J259)</f>
        <v>0</v>
      </c>
      <c r="K260" s="5"/>
      <c r="L260" s="5"/>
    </row>
    <row r="262" spans="1:79" s="37" customFormat="1" ht="12.75">
      <c r="A262" s="35"/>
      <c r="B262" s="35"/>
      <c r="C262" s="35" t="s">
        <v>132</v>
      </c>
      <c r="D262" s="35"/>
      <c r="E262" s="35"/>
      <c r="F262" s="36">
        <f>F260</f>
        <v>3483.2230300903243</v>
      </c>
      <c r="G262" s="36">
        <f>G260</f>
        <v>3.4015849903225823</v>
      </c>
      <c r="H262" s="129">
        <f>H260</f>
        <v>0</v>
      </c>
      <c r="I262" s="137">
        <f>I260</f>
        <v>0</v>
      </c>
      <c r="J262" s="36">
        <f>J260</f>
        <v>0</v>
      </c>
      <c r="K262" s="35"/>
      <c r="L262" s="35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</row>
    <row r="264" spans="1:12" ht="12.75">
      <c r="A264" s="50" t="s">
        <v>285</v>
      </c>
      <c r="B264" s="50" t="s">
        <v>286</v>
      </c>
      <c r="C264" s="51" t="s">
        <v>287</v>
      </c>
      <c r="D264" s="51">
        <v>286</v>
      </c>
      <c r="E264" s="102">
        <v>17.875</v>
      </c>
      <c r="F264" s="180">
        <f>((17321.7587412587/1024/1024)*D264)/30</f>
        <v>0.15748414993286097</v>
      </c>
      <c r="G264" s="52">
        <f>F264/1024</f>
        <v>0.00015379311516880954</v>
      </c>
      <c r="H264" s="15"/>
      <c r="I264" s="9"/>
      <c r="J264" s="179"/>
      <c r="K264" s="2" t="s">
        <v>304</v>
      </c>
      <c r="L264" s="2" t="s">
        <v>288</v>
      </c>
    </row>
    <row r="265" spans="1:12" ht="12.75">
      <c r="A265" s="50" t="s">
        <v>285</v>
      </c>
      <c r="B265" s="50" t="s">
        <v>289</v>
      </c>
      <c r="C265" s="51" t="s">
        <v>287</v>
      </c>
      <c r="D265" s="51">
        <v>286</v>
      </c>
      <c r="E265" s="102">
        <v>17.875</v>
      </c>
      <c r="F265" s="180">
        <f>((16668.7727272727/1024/1024)*D265)/30</f>
        <v>0.15154740015665663</v>
      </c>
      <c r="G265" s="52">
        <f>F265/1024</f>
        <v>0.000147995507965485</v>
      </c>
      <c r="H265" s="15"/>
      <c r="I265" s="9"/>
      <c r="J265" s="179"/>
      <c r="K265" s="2" t="s">
        <v>304</v>
      </c>
      <c r="L265" s="2" t="s">
        <v>288</v>
      </c>
    </row>
    <row r="266" spans="1:12" ht="12.75">
      <c r="A266" s="50" t="s">
        <v>285</v>
      </c>
      <c r="B266" s="50" t="s">
        <v>290</v>
      </c>
      <c r="C266" s="51" t="s">
        <v>287</v>
      </c>
      <c r="D266" s="51">
        <v>286</v>
      </c>
      <c r="E266" s="102">
        <v>17.875</v>
      </c>
      <c r="F266" s="180">
        <f>((8751860.05594405/1024/1024)*D266)/30</f>
        <v>79.56924362182612</v>
      </c>
      <c r="G266" s="52">
        <f>F266/1024</f>
        <v>0.07770433947443957</v>
      </c>
      <c r="H266" s="15">
        <f>G266</f>
        <v>0.07770433947443957</v>
      </c>
      <c r="I266" s="9"/>
      <c r="J266" s="179"/>
      <c r="K266" s="2" t="s">
        <v>304</v>
      </c>
      <c r="L266" s="2" t="s">
        <v>288</v>
      </c>
    </row>
    <row r="267" spans="1:12" ht="13.5" thickBot="1">
      <c r="A267" s="58" t="s">
        <v>285</v>
      </c>
      <c r="B267" s="58" t="s">
        <v>315</v>
      </c>
      <c r="C267" s="59" t="s">
        <v>287</v>
      </c>
      <c r="D267" s="59">
        <v>286</v>
      </c>
      <c r="E267" s="59">
        <f>286/16</f>
        <v>17.875</v>
      </c>
      <c r="F267" s="185">
        <f>((35591.5314685314/1024/1024)*D267)/30</f>
        <v>0.3235873540242507</v>
      </c>
      <c r="G267" s="60">
        <f>F267/1024</f>
        <v>0.00031600327541430733</v>
      </c>
      <c r="H267" s="18">
        <f>G267</f>
        <v>0.00031600327541430733</v>
      </c>
      <c r="I267" s="10"/>
      <c r="J267" s="182" t="s">
        <v>295</v>
      </c>
      <c r="K267" s="6" t="s">
        <v>304</v>
      </c>
      <c r="L267" s="6" t="s">
        <v>288</v>
      </c>
    </row>
    <row r="268" spans="1:12" ht="12.75">
      <c r="A268" s="4"/>
      <c r="B268" s="4"/>
      <c r="C268" s="5" t="s">
        <v>253</v>
      </c>
      <c r="D268" s="5"/>
      <c r="E268" s="5"/>
      <c r="F268" s="32">
        <f>SUM(F264:F267)</f>
        <v>80.20186252593989</v>
      </c>
      <c r="G268" s="32">
        <f>SUM(G264:G267)</f>
        <v>0.07832213137298817</v>
      </c>
      <c r="H268" s="28">
        <f>SUM(H264:H267)</f>
        <v>0.07802034274985388</v>
      </c>
      <c r="I268" s="29"/>
      <c r="J268" s="63">
        <f>SUM(J264:J267)</f>
        <v>0</v>
      </c>
      <c r="K268" s="5"/>
      <c r="L268" s="5"/>
    </row>
    <row r="270" spans="1:79" s="37" customFormat="1" ht="12.75">
      <c r="A270" s="35"/>
      <c r="B270" s="35"/>
      <c r="C270" s="35" t="s">
        <v>133</v>
      </c>
      <c r="D270" s="35"/>
      <c r="E270" s="35"/>
      <c r="F270" s="36">
        <f>F268</f>
        <v>80.20186252593989</v>
      </c>
      <c r="G270" s="36">
        <f>G268</f>
        <v>0.07832213137298817</v>
      </c>
      <c r="H270" s="129">
        <f>H268</f>
        <v>0.07802034274985388</v>
      </c>
      <c r="I270" s="137">
        <f>I268</f>
        <v>0</v>
      </c>
      <c r="J270" s="36">
        <f>J268</f>
        <v>0</v>
      </c>
      <c r="K270" s="35"/>
      <c r="L270" s="35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</row>
    <row r="272" spans="1:12" ht="12.75">
      <c r="A272" s="50" t="s">
        <v>93</v>
      </c>
      <c r="B272" s="50" t="s">
        <v>368</v>
      </c>
      <c r="C272" s="51" t="s">
        <v>272</v>
      </c>
      <c r="D272" s="51">
        <v>1</v>
      </c>
      <c r="E272" s="51">
        <f>1/16</f>
        <v>0.0625</v>
      </c>
      <c r="F272" s="180">
        <f>(3638950/1024/1024)/16</f>
        <v>0.21689832210540771</v>
      </c>
      <c r="G272" s="52">
        <f>F272/1024</f>
        <v>0.00021181476768106222</v>
      </c>
      <c r="H272" s="15"/>
      <c r="I272" s="9"/>
      <c r="J272" s="179"/>
      <c r="K272" s="51" t="s">
        <v>304</v>
      </c>
      <c r="L272" s="51" t="s">
        <v>369</v>
      </c>
    </row>
    <row r="273" spans="1:12" ht="12.75">
      <c r="A273" s="50" t="s">
        <v>93</v>
      </c>
      <c r="B273" s="50" t="s">
        <v>121</v>
      </c>
      <c r="C273" s="51" t="s">
        <v>272</v>
      </c>
      <c r="D273" s="51">
        <v>1</v>
      </c>
      <c r="E273" s="51">
        <f>1/16</f>
        <v>0.0625</v>
      </c>
      <c r="F273" s="180">
        <f>(3470054/1024/1024)/16</f>
        <v>0.20683133602142334</v>
      </c>
      <c r="G273" s="52">
        <f>F273/1024</f>
        <v>0.00020198372658342123</v>
      </c>
      <c r="H273" s="15"/>
      <c r="I273" s="9"/>
      <c r="J273" s="179"/>
      <c r="K273" s="51" t="s">
        <v>304</v>
      </c>
      <c r="L273" s="51" t="s">
        <v>369</v>
      </c>
    </row>
    <row r="274" spans="1:12" ht="12.75">
      <c r="A274" s="50" t="s">
        <v>93</v>
      </c>
      <c r="B274" s="95" t="s">
        <v>122</v>
      </c>
      <c r="C274" s="51" t="s">
        <v>272</v>
      </c>
      <c r="D274" s="51">
        <v>1</v>
      </c>
      <c r="E274" s="51">
        <f>1/16</f>
        <v>0.0625</v>
      </c>
      <c r="F274" s="180">
        <f>(104110915/1024/1024)/16</f>
        <v>6.2054941058158875</v>
      </c>
      <c r="G274" s="52">
        <f>F274/1024</f>
        <v>0.006060052837710828</v>
      </c>
      <c r="H274" s="15">
        <f>G274</f>
        <v>0.006060052837710828</v>
      </c>
      <c r="I274" s="9"/>
      <c r="J274" s="179"/>
      <c r="K274" s="51" t="s">
        <v>304</v>
      </c>
      <c r="L274" s="51" t="s">
        <v>369</v>
      </c>
    </row>
    <row r="275" spans="1:12" ht="13.5" thickBot="1">
      <c r="A275" s="58" t="s">
        <v>93</v>
      </c>
      <c r="B275" s="58" t="s">
        <v>315</v>
      </c>
      <c r="C275" s="59" t="s">
        <v>272</v>
      </c>
      <c r="D275" s="59">
        <v>1</v>
      </c>
      <c r="E275" s="59">
        <f>1/16</f>
        <v>0.0625</v>
      </c>
      <c r="F275" s="185">
        <f>(7110587/1024/1024)/16</f>
        <v>0.4238240122795105</v>
      </c>
      <c r="G275" s="60">
        <f>F275/1024</f>
        <v>0.00041389063699170947</v>
      </c>
      <c r="H275" s="18">
        <f>G275</f>
        <v>0.00041389063699170947</v>
      </c>
      <c r="I275" s="10"/>
      <c r="J275" s="182" t="s">
        <v>295</v>
      </c>
      <c r="K275" s="59" t="s">
        <v>304</v>
      </c>
      <c r="L275" s="59" t="s">
        <v>369</v>
      </c>
    </row>
    <row r="276" spans="1:10" ht="12.75">
      <c r="A276" s="62"/>
      <c r="B276" s="62"/>
      <c r="C276" s="5" t="s">
        <v>253</v>
      </c>
      <c r="D276" s="5"/>
      <c r="E276" s="5"/>
      <c r="F276" s="32">
        <f>SUM(F272:F275)</f>
        <v>7.053047776222229</v>
      </c>
      <c r="G276" s="32">
        <f>F276/1024</f>
        <v>0.0068877419689670205</v>
      </c>
      <c r="H276" s="19">
        <f>SUM(H272:H275)</f>
        <v>0.006473943474702537</v>
      </c>
      <c r="J276" s="63">
        <f>SUM(J272:J275)</f>
        <v>0</v>
      </c>
    </row>
    <row r="278" spans="1:79" s="37" customFormat="1" ht="12.75">
      <c r="A278" s="35"/>
      <c r="B278" s="35"/>
      <c r="C278" s="35" t="s">
        <v>134</v>
      </c>
      <c r="D278" s="35"/>
      <c r="E278" s="35"/>
      <c r="F278" s="36">
        <f>F276</f>
        <v>7.053047776222229</v>
      </c>
      <c r="G278" s="36">
        <f>G276</f>
        <v>0.0068877419689670205</v>
      </c>
      <c r="H278" s="129">
        <f>H276</f>
        <v>0.006473943474702537</v>
      </c>
      <c r="I278" s="137">
        <f>I276</f>
        <v>0</v>
      </c>
      <c r="J278" s="36">
        <f>J276</f>
        <v>0</v>
      </c>
      <c r="K278" s="35"/>
      <c r="L278" s="35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80" spans="1:12" ht="12.75">
      <c r="A280" s="50" t="s">
        <v>123</v>
      </c>
      <c r="B280" s="50" t="s">
        <v>202</v>
      </c>
      <c r="C280" s="51" t="s">
        <v>287</v>
      </c>
      <c r="D280" s="51">
        <v>1</v>
      </c>
      <c r="E280" s="51">
        <f>1/30</f>
        <v>0.03333333333333333</v>
      </c>
      <c r="F280" s="180">
        <f>(3560856/1024/1024)/30</f>
        <v>0.11319656372070312</v>
      </c>
      <c r="G280" s="52">
        <f>F280/1024</f>
        <v>0.00011054351925849914</v>
      </c>
      <c r="H280" s="15"/>
      <c r="I280" s="9"/>
      <c r="J280" s="179"/>
      <c r="K280" s="51" t="s">
        <v>304</v>
      </c>
      <c r="L280" s="51" t="s">
        <v>203</v>
      </c>
    </row>
    <row r="281" spans="1:12" ht="12.75">
      <c r="A281" s="50" t="s">
        <v>123</v>
      </c>
      <c r="B281" s="50" t="s">
        <v>204</v>
      </c>
      <c r="C281" s="51" t="s">
        <v>287</v>
      </c>
      <c r="D281" s="51">
        <v>1</v>
      </c>
      <c r="E281" s="51">
        <f>1/30</f>
        <v>0.03333333333333333</v>
      </c>
      <c r="F281" s="180">
        <f>(3306879/1024/1024)/30</f>
        <v>0.10512285232543946</v>
      </c>
      <c r="G281" s="52">
        <f>F281/1024</f>
        <v>0.00010265903547406197</v>
      </c>
      <c r="H281" s="15"/>
      <c r="I281" s="9"/>
      <c r="J281" s="179"/>
      <c r="K281" s="51" t="s">
        <v>304</v>
      </c>
      <c r="L281" s="51" t="s">
        <v>203</v>
      </c>
    </row>
    <row r="282" spans="1:12" ht="12.75">
      <c r="A282" s="50" t="s">
        <v>123</v>
      </c>
      <c r="B282" s="95" t="s">
        <v>205</v>
      </c>
      <c r="C282" s="51" t="s">
        <v>287</v>
      </c>
      <c r="D282" s="51">
        <v>1</v>
      </c>
      <c r="E282" s="51">
        <f>1/30</f>
        <v>0.03333333333333333</v>
      </c>
      <c r="F282" s="180">
        <f>(105297971/1024/1024)/30</f>
        <v>3.3473323504130046</v>
      </c>
      <c r="G282" s="52">
        <f>F282/1024</f>
        <v>0.0032688792484502</v>
      </c>
      <c r="H282" s="15">
        <f>G282</f>
        <v>0.0032688792484502</v>
      </c>
      <c r="I282" s="9"/>
      <c r="J282" s="179"/>
      <c r="K282" s="51" t="s">
        <v>304</v>
      </c>
      <c r="L282" s="51" t="s">
        <v>203</v>
      </c>
    </row>
    <row r="283" spans="1:12" ht="13.5" thickBot="1">
      <c r="A283" s="58" t="s">
        <v>123</v>
      </c>
      <c r="B283" s="58" t="s">
        <v>315</v>
      </c>
      <c r="C283" s="59" t="s">
        <v>287</v>
      </c>
      <c r="D283" s="59">
        <v>1</v>
      </c>
      <c r="E283" s="59">
        <f>1/30</f>
        <v>0.03333333333333333</v>
      </c>
      <c r="F283" s="185">
        <f>(6869318/1024/1024)/30</f>
        <v>0.21836973826090494</v>
      </c>
      <c r="G283" s="60">
        <f>F283/1024</f>
        <v>0.00021325169752041498</v>
      </c>
      <c r="H283" s="18">
        <f>G283</f>
        <v>0.00021325169752041498</v>
      </c>
      <c r="I283" s="10"/>
      <c r="J283" s="182" t="s">
        <v>295</v>
      </c>
      <c r="K283" s="59" t="s">
        <v>304</v>
      </c>
      <c r="L283" s="59" t="s">
        <v>203</v>
      </c>
    </row>
    <row r="284" spans="1:10" ht="12.75">
      <c r="A284" s="62"/>
      <c r="B284" s="62"/>
      <c r="C284" s="5" t="s">
        <v>253</v>
      </c>
      <c r="D284" s="5"/>
      <c r="E284" s="5"/>
      <c r="F284" s="32">
        <f>SUM(F280:F283)</f>
        <v>3.784021504720052</v>
      </c>
      <c r="G284" s="32">
        <f>F284/1024</f>
        <v>0.003695333500703176</v>
      </c>
      <c r="H284" s="19">
        <f>SUM(H280:H283)</f>
        <v>0.0034821309459706147</v>
      </c>
      <c r="J284" s="63">
        <f>SUM(J280:J283)</f>
        <v>0</v>
      </c>
    </row>
    <row r="286" spans="1:79" s="37" customFormat="1" ht="12.75">
      <c r="A286" s="35"/>
      <c r="B286" s="35"/>
      <c r="C286" s="35" t="s">
        <v>135</v>
      </c>
      <c r="D286" s="35"/>
      <c r="E286" s="35"/>
      <c r="F286" s="36">
        <f>F284</f>
        <v>3.784021504720052</v>
      </c>
      <c r="G286" s="36">
        <f>G284</f>
        <v>0.003695333500703176</v>
      </c>
      <c r="H286" s="129">
        <f>H284</f>
        <v>0.0034821309459706147</v>
      </c>
      <c r="I286" s="137">
        <f>I284</f>
        <v>0</v>
      </c>
      <c r="J286" s="36">
        <f>J284</f>
        <v>0</v>
      </c>
      <c r="K286" s="35"/>
      <c r="L286" s="35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8" spans="1:12" ht="13.5" thickBot="1">
      <c r="A288" s="7" t="s">
        <v>206</v>
      </c>
      <c r="B288" s="7" t="s">
        <v>207</v>
      </c>
      <c r="C288" s="6" t="s">
        <v>287</v>
      </c>
      <c r="D288" s="6">
        <v>1</v>
      </c>
      <c r="E288" s="6">
        <f>1/30</f>
        <v>0.03333333333333333</v>
      </c>
      <c r="F288" s="27">
        <v>0.05</v>
      </c>
      <c r="G288" s="27">
        <f>F288/1024</f>
        <v>4.8828125E-05</v>
      </c>
      <c r="H288" s="31"/>
      <c r="I288" s="10">
        <f>G288</f>
        <v>4.8828125E-05</v>
      </c>
      <c r="J288" s="182" t="s">
        <v>295</v>
      </c>
      <c r="K288" s="6" t="s">
        <v>304</v>
      </c>
      <c r="L288" s="6" t="s">
        <v>172</v>
      </c>
    </row>
    <row r="289" spans="1:12" ht="12.75">
      <c r="A289" s="5"/>
      <c r="B289" s="5"/>
      <c r="C289" s="5" t="s">
        <v>253</v>
      </c>
      <c r="D289" s="5"/>
      <c r="E289" s="5"/>
      <c r="F289" s="32">
        <v>0.05</v>
      </c>
      <c r="G289" s="32">
        <f>SUM(G288)</f>
        <v>4.8828125E-05</v>
      </c>
      <c r="H289" s="28"/>
      <c r="I289" s="29">
        <f>SUM(I288)</f>
        <v>4.8828125E-05</v>
      </c>
      <c r="J289" s="63">
        <f>SUM(J288)</f>
        <v>0</v>
      </c>
      <c r="K289" s="5"/>
      <c r="L289" s="5"/>
    </row>
    <row r="291" spans="1:79" s="37" customFormat="1" ht="12.75">
      <c r="A291" s="35"/>
      <c r="B291" s="35"/>
      <c r="C291" s="35" t="s">
        <v>136</v>
      </c>
      <c r="D291" s="35"/>
      <c r="E291" s="35"/>
      <c r="F291" s="36">
        <f>F289</f>
        <v>0.05</v>
      </c>
      <c r="G291" s="36">
        <f>G289</f>
        <v>4.8828125E-05</v>
      </c>
      <c r="H291" s="129">
        <f>H289</f>
        <v>0</v>
      </c>
      <c r="I291" s="137">
        <f>I289</f>
        <v>4.8828125E-05</v>
      </c>
      <c r="J291" s="36">
        <f>J289</f>
        <v>0</v>
      </c>
      <c r="K291" s="35"/>
      <c r="L291" s="35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3" spans="1:12" ht="12.75">
      <c r="A293" s="50" t="s">
        <v>30</v>
      </c>
      <c r="B293" s="95" t="s">
        <v>31</v>
      </c>
      <c r="C293" s="51" t="s">
        <v>100</v>
      </c>
      <c r="D293" s="51">
        <v>1</v>
      </c>
      <c r="E293" s="51">
        <v>1</v>
      </c>
      <c r="F293" s="180">
        <f>52788770/1024/1024</f>
        <v>50.34329414367676</v>
      </c>
      <c r="G293" s="52">
        <f>F293/1024</f>
        <v>0.049163373187184334</v>
      </c>
      <c r="H293" s="15">
        <f>G293</f>
        <v>0.049163373187184334</v>
      </c>
      <c r="I293" s="9"/>
      <c r="J293" s="179"/>
      <c r="K293" s="2" t="s">
        <v>304</v>
      </c>
      <c r="L293" s="2" t="s">
        <v>210</v>
      </c>
    </row>
    <row r="294" spans="1:12" ht="12.75">
      <c r="A294" s="50" t="s">
        <v>30</v>
      </c>
      <c r="B294" s="50" t="s">
        <v>32</v>
      </c>
      <c r="C294" s="51" t="s">
        <v>100</v>
      </c>
      <c r="D294" s="51">
        <v>1</v>
      </c>
      <c r="E294" s="51">
        <v>1</v>
      </c>
      <c r="F294" s="180">
        <f>3364569/1024/1024</f>
        <v>3.20870304107666</v>
      </c>
      <c r="G294" s="52">
        <f>F294/1024</f>
        <v>0.003133499063551426</v>
      </c>
      <c r="H294" s="15"/>
      <c r="I294" s="9"/>
      <c r="J294" s="179"/>
      <c r="K294" s="2" t="s">
        <v>304</v>
      </c>
      <c r="L294" s="2" t="s">
        <v>210</v>
      </c>
    </row>
    <row r="295" spans="1:12" ht="12.75">
      <c r="A295" s="50" t="s">
        <v>30</v>
      </c>
      <c r="B295" s="50" t="s">
        <v>33</v>
      </c>
      <c r="C295" s="51" t="s">
        <v>100</v>
      </c>
      <c r="D295" s="51">
        <v>1</v>
      </c>
      <c r="E295" s="51">
        <v>1</v>
      </c>
      <c r="F295" s="180">
        <f>3337189/1024/1024</f>
        <v>3.182591438293457</v>
      </c>
      <c r="G295" s="52">
        <f>F295/1024</f>
        <v>0.003107999451458454</v>
      </c>
      <c r="H295" s="15"/>
      <c r="I295" s="9"/>
      <c r="J295" s="179"/>
      <c r="K295" s="2" t="s">
        <v>304</v>
      </c>
      <c r="L295" s="2" t="s">
        <v>210</v>
      </c>
    </row>
    <row r="296" spans="1:12" ht="13.5" thickBot="1">
      <c r="A296" s="58" t="s">
        <v>30</v>
      </c>
      <c r="B296" s="58" t="s">
        <v>315</v>
      </c>
      <c r="C296" s="59" t="s">
        <v>100</v>
      </c>
      <c r="D296" s="59">
        <v>1</v>
      </c>
      <c r="E296" s="59">
        <v>1</v>
      </c>
      <c r="F296" s="185">
        <f>6703341/1024/1024</f>
        <v>6.392804145812988</v>
      </c>
      <c r="G296" s="60">
        <f>F296/1024</f>
        <v>0.006242972798645496</v>
      </c>
      <c r="H296" s="18">
        <f>G296</f>
        <v>0.006242972798645496</v>
      </c>
      <c r="I296" s="10"/>
      <c r="J296" s="182" t="s">
        <v>295</v>
      </c>
      <c r="K296" s="6" t="s">
        <v>304</v>
      </c>
      <c r="L296" s="6" t="s">
        <v>210</v>
      </c>
    </row>
    <row r="297" spans="1:10" ht="12.75">
      <c r="A297" s="62"/>
      <c r="B297" s="62"/>
      <c r="C297" s="65" t="s">
        <v>309</v>
      </c>
      <c r="D297" s="65"/>
      <c r="E297" s="65"/>
      <c r="F297" s="32">
        <f>SUM(F293:F296)</f>
        <v>63.12739276885986</v>
      </c>
      <c r="G297" s="32">
        <f>F297/1024</f>
        <v>0.06164784450083971</v>
      </c>
      <c r="H297" s="19">
        <f>SUM(H293)</f>
        <v>0.049163373187184334</v>
      </c>
      <c r="J297" s="63">
        <f>SUM(J293:J296)</f>
        <v>0</v>
      </c>
    </row>
    <row r="298" spans="1:7" ht="12.75">
      <c r="A298" s="62"/>
      <c r="B298" s="62"/>
      <c r="C298" s="65"/>
      <c r="D298" s="65"/>
      <c r="E298" s="65"/>
      <c r="F298" s="32"/>
      <c r="G298" s="66"/>
    </row>
    <row r="300" spans="1:12" ht="12.75">
      <c r="A300" s="1" t="s">
        <v>208</v>
      </c>
      <c r="B300" s="1" t="s">
        <v>209</v>
      </c>
      <c r="C300" s="2" t="s">
        <v>100</v>
      </c>
      <c r="D300" s="2">
        <v>1</v>
      </c>
      <c r="E300" s="2">
        <v>1</v>
      </c>
      <c r="F300" s="26">
        <f>9319422/1024/1024</f>
        <v>8.887693405151367</v>
      </c>
      <c r="G300" s="26">
        <f>F300/1024</f>
        <v>0.008679388090968132</v>
      </c>
      <c r="H300" s="15"/>
      <c r="I300" s="9"/>
      <c r="J300" s="179"/>
      <c r="K300" s="2" t="s">
        <v>304</v>
      </c>
      <c r="L300" s="2" t="s">
        <v>210</v>
      </c>
    </row>
    <row r="301" spans="1:12" ht="12.75">
      <c r="A301" s="1" t="s">
        <v>208</v>
      </c>
      <c r="B301" s="1" t="s">
        <v>211</v>
      </c>
      <c r="C301" s="2" t="s">
        <v>100</v>
      </c>
      <c r="D301" s="2">
        <v>1</v>
      </c>
      <c r="E301" s="2">
        <v>1</v>
      </c>
      <c r="F301" s="26">
        <f>129696046/1024/1024</f>
        <v>123.68778800964355</v>
      </c>
      <c r="G301" s="26">
        <f>F301/1024</f>
        <v>0.12078885547816753</v>
      </c>
      <c r="H301" s="15"/>
      <c r="I301" s="9"/>
      <c r="J301" s="179"/>
      <c r="K301" s="2" t="s">
        <v>304</v>
      </c>
      <c r="L301" s="2" t="s">
        <v>210</v>
      </c>
    </row>
    <row r="302" spans="1:12" ht="12.75">
      <c r="A302" s="1" t="s">
        <v>208</v>
      </c>
      <c r="B302" s="1" t="s">
        <v>212</v>
      </c>
      <c r="C302" s="2" t="s">
        <v>100</v>
      </c>
      <c r="D302" s="2">
        <v>1</v>
      </c>
      <c r="E302" s="2">
        <v>1</v>
      </c>
      <c r="F302" s="26">
        <f>1088760790/1024/1024</f>
        <v>1038.3232021331787</v>
      </c>
      <c r="G302" s="26">
        <f>F302/1024</f>
        <v>1.0139875020831823</v>
      </c>
      <c r="H302" s="15">
        <f>G302</f>
        <v>1.0139875020831823</v>
      </c>
      <c r="I302" s="9"/>
      <c r="J302" s="179"/>
      <c r="K302" s="2" t="s">
        <v>304</v>
      </c>
      <c r="L302" s="2" t="s">
        <v>210</v>
      </c>
    </row>
    <row r="303" spans="1:12" ht="13.5" thickBot="1">
      <c r="A303" s="7" t="s">
        <v>208</v>
      </c>
      <c r="B303" s="7" t="s">
        <v>315</v>
      </c>
      <c r="C303" s="6" t="s">
        <v>100</v>
      </c>
      <c r="D303" s="6">
        <v>1</v>
      </c>
      <c r="E303" s="6">
        <v>1</v>
      </c>
      <c r="F303" s="27">
        <f>9320979/1024/1024</f>
        <v>8.889178276062012</v>
      </c>
      <c r="G303" s="27">
        <f>F303/1024</f>
        <v>0.008680838160216808</v>
      </c>
      <c r="H303" s="18">
        <f>G303</f>
        <v>0.008680838160216808</v>
      </c>
      <c r="I303" s="10"/>
      <c r="J303" s="182" t="s">
        <v>295</v>
      </c>
      <c r="K303" s="6" t="s">
        <v>304</v>
      </c>
      <c r="L303" s="6" t="s">
        <v>210</v>
      </c>
    </row>
    <row r="304" spans="1:12" ht="12.75">
      <c r="A304" s="4"/>
      <c r="B304" s="4"/>
      <c r="C304" s="5" t="s">
        <v>253</v>
      </c>
      <c r="D304" s="5"/>
      <c r="E304" s="5"/>
      <c r="F304" s="32">
        <f>SUM(F300:F303)</f>
        <v>1179.7878618240356</v>
      </c>
      <c r="G304" s="32">
        <f>SUM(G300:G303)</f>
        <v>1.1521365838125348</v>
      </c>
      <c r="H304" s="28">
        <f>SUM(H300:H303)</f>
        <v>1.0226683402433991</v>
      </c>
      <c r="J304" s="63">
        <f>SUM(J300:J303)</f>
        <v>0</v>
      </c>
      <c r="K304" s="5"/>
      <c r="L304" s="5"/>
    </row>
    <row r="306" spans="1:79" s="37" customFormat="1" ht="12.75">
      <c r="A306" s="35"/>
      <c r="B306" s="35"/>
      <c r="C306" s="35" t="s">
        <v>137</v>
      </c>
      <c r="D306" s="35"/>
      <c r="E306" s="35"/>
      <c r="F306" s="36">
        <f>F304+F297</f>
        <v>1242.9152545928955</v>
      </c>
      <c r="G306" s="36">
        <f>G304+G297</f>
        <v>1.2137844283133745</v>
      </c>
      <c r="H306" s="129">
        <f>H304+H297</f>
        <v>1.0718317134305835</v>
      </c>
      <c r="I306" s="137">
        <f>I304+I297</f>
        <v>0</v>
      </c>
      <c r="J306" s="36">
        <f>J304+J297</f>
        <v>0</v>
      </c>
      <c r="K306" s="35"/>
      <c r="L306" s="35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</row>
    <row r="308" spans="1:90" s="79" customFormat="1" ht="13.5" thickBot="1">
      <c r="A308" s="58" t="s">
        <v>213</v>
      </c>
      <c r="B308" s="96" t="s">
        <v>214</v>
      </c>
      <c r="C308" s="59" t="s">
        <v>100</v>
      </c>
      <c r="D308" s="59">
        <v>286</v>
      </c>
      <c r="E308" s="59">
        <v>286</v>
      </c>
      <c r="F308" s="185">
        <f>(286*41)/365</f>
        <v>32.12602739726027</v>
      </c>
      <c r="G308" s="78">
        <f>F308/1024</f>
        <v>0.031373073630136986</v>
      </c>
      <c r="H308" s="18"/>
      <c r="I308" s="10"/>
      <c r="J308" s="182" t="s">
        <v>295</v>
      </c>
      <c r="K308" s="59" t="s">
        <v>304</v>
      </c>
      <c r="L308" s="59" t="s">
        <v>215</v>
      </c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</row>
    <row r="309" spans="1:8" ht="12.75">
      <c r="A309" s="62"/>
      <c r="B309" s="62"/>
      <c r="C309" s="80" t="s">
        <v>253</v>
      </c>
      <c r="D309" s="80"/>
      <c r="E309" s="80"/>
      <c r="F309" s="88">
        <f>F308</f>
        <v>32.12602739726027</v>
      </c>
      <c r="G309" s="88">
        <f>F309/1024</f>
        <v>0.031373073630136986</v>
      </c>
      <c r="H309" s="33"/>
    </row>
    <row r="312" spans="1:90" s="81" customFormat="1" ht="12.75">
      <c r="A312" s="50" t="s">
        <v>216</v>
      </c>
      <c r="B312" s="95" t="s">
        <v>217</v>
      </c>
      <c r="C312" s="51" t="s">
        <v>43</v>
      </c>
      <c r="D312" s="51">
        <v>286</v>
      </c>
      <c r="E312" s="51">
        <f>286/8</f>
        <v>35.75</v>
      </c>
      <c r="F312" s="180">
        <f>((845683.098540145/1024/1024)*D312)/8</f>
        <v>28.83259846955317</v>
      </c>
      <c r="G312" s="52">
        <f aca="true" t="shared" si="18" ref="G312:G317">F312/1024</f>
        <v>0.028156834442923016</v>
      </c>
      <c r="H312" s="15">
        <f>G312</f>
        <v>0.028156834442923016</v>
      </c>
      <c r="I312" s="9"/>
      <c r="J312" s="179"/>
      <c r="K312" s="51" t="s">
        <v>304</v>
      </c>
      <c r="L312" s="51" t="s">
        <v>218</v>
      </c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</row>
    <row r="313" spans="1:90" s="81" customFormat="1" ht="12.75">
      <c r="A313" s="50" t="s">
        <v>216</v>
      </c>
      <c r="B313" s="95" t="s">
        <v>219</v>
      </c>
      <c r="C313" s="51" t="s">
        <v>43</v>
      </c>
      <c r="D313" s="51">
        <v>286</v>
      </c>
      <c r="E313" s="51">
        <f>286/8</f>
        <v>35.75</v>
      </c>
      <c r="F313" s="180">
        <f>((108484.635036496/1024/1024)*D313)/8</f>
        <v>3.698659613184673</v>
      </c>
      <c r="G313" s="52">
        <f t="shared" si="18"/>
        <v>0.003611972278500657</v>
      </c>
      <c r="H313" s="15"/>
      <c r="I313" s="9"/>
      <c r="J313" s="179"/>
      <c r="K313" s="51" t="s">
        <v>304</v>
      </c>
      <c r="L313" s="51" t="s">
        <v>218</v>
      </c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</row>
    <row r="314" spans="1:90" s="81" customFormat="1" ht="12.75">
      <c r="A314" s="50" t="s">
        <v>216</v>
      </c>
      <c r="B314" s="82" t="s">
        <v>315</v>
      </c>
      <c r="C314" s="51" t="s">
        <v>43</v>
      </c>
      <c r="D314" s="51">
        <v>286</v>
      </c>
      <c r="E314" s="51">
        <f>286/8</f>
        <v>35.75</v>
      </c>
      <c r="F314" s="180">
        <f>((32718.7773722627/1024/1024)*D314)/8</f>
        <v>1.1155093107780376</v>
      </c>
      <c r="G314" s="83">
        <f t="shared" si="18"/>
        <v>0.0010893645613066774</v>
      </c>
      <c r="H314" s="15">
        <f>G314</f>
        <v>0.0010893645613066774</v>
      </c>
      <c r="I314" s="9"/>
      <c r="J314" s="179" t="s">
        <v>295</v>
      </c>
      <c r="K314" s="51" t="s">
        <v>304</v>
      </c>
      <c r="L314" s="51" t="s">
        <v>218</v>
      </c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</row>
    <row r="315" spans="1:90" s="81" customFormat="1" ht="12.75">
      <c r="A315" s="50" t="s">
        <v>216</v>
      </c>
      <c r="B315" s="82" t="s">
        <v>338</v>
      </c>
      <c r="C315" s="51" t="s">
        <v>43</v>
      </c>
      <c r="D315" s="51">
        <v>286</v>
      </c>
      <c r="E315" s="51">
        <f>286/8</f>
        <v>35.75</v>
      </c>
      <c r="F315" s="180">
        <f>((15864.9343065693/1024/1024)*D315)/8</f>
        <v>0.5408967985723996</v>
      </c>
      <c r="G315" s="83">
        <f t="shared" si="18"/>
        <v>0.000528219529855859</v>
      </c>
      <c r="H315" s="15"/>
      <c r="I315" s="9"/>
      <c r="J315" s="179"/>
      <c r="K315" s="51" t="s">
        <v>304</v>
      </c>
      <c r="L315" s="51" t="s">
        <v>218</v>
      </c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</row>
    <row r="316" spans="1:90" s="79" customFormat="1" ht="13.5" thickBot="1">
      <c r="A316" s="58" t="s">
        <v>216</v>
      </c>
      <c r="B316" s="84" t="s">
        <v>339</v>
      </c>
      <c r="C316" s="59" t="s">
        <v>43</v>
      </c>
      <c r="D316" s="170">
        <v>286</v>
      </c>
      <c r="E316" s="170">
        <f>286/8</f>
        <v>35.75</v>
      </c>
      <c r="F316" s="187">
        <f>((15252.8430656934/1024/1024)*D316)/8</f>
        <v>0.5200282474503889</v>
      </c>
      <c r="G316" s="85">
        <f t="shared" si="18"/>
        <v>0.0005078400854007704</v>
      </c>
      <c r="H316" s="18"/>
      <c r="I316" s="10"/>
      <c r="J316" s="182"/>
      <c r="K316" s="59" t="s">
        <v>304</v>
      </c>
      <c r="L316" s="59" t="s">
        <v>218</v>
      </c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</row>
    <row r="317" spans="1:10" ht="12.75">
      <c r="A317" s="62"/>
      <c r="B317" s="62"/>
      <c r="C317" s="5" t="s">
        <v>193</v>
      </c>
      <c r="D317" s="5"/>
      <c r="E317" s="5"/>
      <c r="F317" s="32">
        <f>SUM(F312:F316)</f>
        <v>34.70769243953867</v>
      </c>
      <c r="G317" s="32">
        <f t="shared" si="18"/>
        <v>0.03389423089798698</v>
      </c>
      <c r="H317" s="28">
        <f>SUM(H312:H316)</f>
        <v>0.029246199004229693</v>
      </c>
      <c r="J317" s="63">
        <f>SUM(J312:J316)</f>
        <v>0</v>
      </c>
    </row>
    <row r="319" spans="1:90" s="51" customFormat="1" ht="12.75">
      <c r="A319" s="50" t="s">
        <v>220</v>
      </c>
      <c r="B319" s="95" t="s">
        <v>221</v>
      </c>
      <c r="C319" s="51" t="s">
        <v>222</v>
      </c>
      <c r="D319" s="51">
        <v>274</v>
      </c>
      <c r="E319" s="51">
        <f>274/365</f>
        <v>0.7506849315068493</v>
      </c>
      <c r="F319" s="180">
        <f>((825429.010948905/1024/1024)*D319)/365</f>
        <v>0.5909320073584987</v>
      </c>
      <c r="G319" s="52">
        <f>F319/1024</f>
        <v>0.0005770820384360339</v>
      </c>
      <c r="H319" s="15">
        <f>G319</f>
        <v>0.0005770820384360339</v>
      </c>
      <c r="I319" s="9"/>
      <c r="J319" s="179"/>
      <c r="K319" s="51" t="s">
        <v>304</v>
      </c>
      <c r="L319" s="51" t="s">
        <v>224</v>
      </c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</row>
    <row r="320" spans="1:90" s="51" customFormat="1" ht="12.75">
      <c r="A320" s="50" t="s">
        <v>220</v>
      </c>
      <c r="B320" s="95" t="s">
        <v>223</v>
      </c>
      <c r="C320" s="51" t="s">
        <v>222</v>
      </c>
      <c r="D320" s="51">
        <v>274</v>
      </c>
      <c r="E320" s="51">
        <f>274/365</f>
        <v>0.7506849315068493</v>
      </c>
      <c r="F320" s="180">
        <f>((97164.9927007299/1024/1024)*D320)/365</f>
        <v>0.06956128682175726</v>
      </c>
      <c r="G320" s="52">
        <f>F320/1024</f>
        <v>6.793094416187232E-05</v>
      </c>
      <c r="H320" s="15"/>
      <c r="I320" s="9"/>
      <c r="J320" s="179" t="s">
        <v>295</v>
      </c>
      <c r="K320" s="51" t="s">
        <v>304</v>
      </c>
      <c r="L320" s="51" t="s">
        <v>224</v>
      </c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</row>
    <row r="321" spans="1:90" s="51" customFormat="1" ht="12.75">
      <c r="A321" s="50" t="s">
        <v>220</v>
      </c>
      <c r="B321" s="50" t="s">
        <v>315</v>
      </c>
      <c r="C321" s="51" t="s">
        <v>222</v>
      </c>
      <c r="D321" s="68">
        <v>274</v>
      </c>
      <c r="E321" s="51">
        <f>274/365</f>
        <v>0.7506849315068493</v>
      </c>
      <c r="F321" s="186">
        <f>((14695.4854014598/1024/1024)*D321)/365</f>
        <v>0.010520629360251192</v>
      </c>
      <c r="G321" s="69">
        <f>F321/1024</f>
        <v>1.0274052109620305E-05</v>
      </c>
      <c r="H321" s="15">
        <f>G321</f>
        <v>1.0274052109620305E-05</v>
      </c>
      <c r="I321" s="9"/>
      <c r="J321" s="179"/>
      <c r="K321" s="51" t="s">
        <v>304</v>
      </c>
      <c r="L321" s="51" t="s">
        <v>224</v>
      </c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</row>
    <row r="322" spans="1:90" s="79" customFormat="1" ht="13.5" thickBot="1">
      <c r="A322" s="58" t="s">
        <v>220</v>
      </c>
      <c r="B322" s="58" t="s">
        <v>340</v>
      </c>
      <c r="C322" s="59" t="s">
        <v>222</v>
      </c>
      <c r="D322" s="59">
        <v>274</v>
      </c>
      <c r="E322" s="59">
        <f>274/365</f>
        <v>0.7506849315068493</v>
      </c>
      <c r="F322" s="185">
        <f>((13122.4854014598/1024/1024)*D322)/365</f>
        <v>0.009394504599375228</v>
      </c>
      <c r="G322" s="60">
        <f>F322/1024</f>
        <v>9.174320897827371E-06</v>
      </c>
      <c r="H322" s="18"/>
      <c r="I322" s="10"/>
      <c r="J322" s="182"/>
      <c r="K322" s="59" t="s">
        <v>304</v>
      </c>
      <c r="L322" s="59" t="s">
        <v>224</v>
      </c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</row>
    <row r="323" spans="1:10" ht="12.75">
      <c r="A323" s="62"/>
      <c r="B323" s="62"/>
      <c r="C323" s="5" t="s">
        <v>193</v>
      </c>
      <c r="D323" s="5"/>
      <c r="E323" s="5"/>
      <c r="F323" s="32">
        <f>SUM(F319:F322)</f>
        <v>0.6804084281398823</v>
      </c>
      <c r="G323" s="32">
        <f>F323/1024</f>
        <v>0.0006644613556053538</v>
      </c>
      <c r="H323" s="19">
        <f>SUM(H319:H322)</f>
        <v>0.0005873560905456542</v>
      </c>
      <c r="J323" s="63">
        <f>SUM(J319)</f>
        <v>0</v>
      </c>
    </row>
    <row r="325" spans="1:79" s="37" customFormat="1" ht="12.75">
      <c r="A325" s="35"/>
      <c r="B325" s="35" t="s">
        <v>138</v>
      </c>
      <c r="F325" s="36">
        <f>F309+F317+F323</f>
        <v>67.51412826493882</v>
      </c>
      <c r="G325" s="36">
        <f>G309+G317+G323</f>
        <v>0.06593176588372932</v>
      </c>
      <c r="H325" s="129">
        <f>H309+H317+H323</f>
        <v>0.02983355509477535</v>
      </c>
      <c r="I325" s="137">
        <f>I309+I317+I323</f>
        <v>0</v>
      </c>
      <c r="J325" s="36">
        <f>J309+J317+J323</f>
        <v>0</v>
      </c>
      <c r="K325" s="35"/>
      <c r="L325" s="3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</row>
    <row r="327" spans="1:90" s="81" customFormat="1" ht="12.75">
      <c r="A327" s="1" t="s">
        <v>72</v>
      </c>
      <c r="B327" s="1" t="s">
        <v>73</v>
      </c>
      <c r="C327" s="2" t="s">
        <v>100</v>
      </c>
      <c r="D327" s="2">
        <v>1</v>
      </c>
      <c r="E327" s="2">
        <v>1</v>
      </c>
      <c r="F327" s="26">
        <f>2969585/1024/1024</f>
        <v>2.832016944885254</v>
      </c>
      <c r="G327" s="26">
        <f>F327/1024</f>
        <v>0.0027656415477395058</v>
      </c>
      <c r="H327" s="15"/>
      <c r="I327" s="9"/>
      <c r="J327" s="179"/>
      <c r="K327" s="2" t="s">
        <v>304</v>
      </c>
      <c r="L327" s="2" t="s">
        <v>74</v>
      </c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</row>
    <row r="328" spans="1:90" s="81" customFormat="1" ht="12.75">
      <c r="A328" s="1" t="s">
        <v>72</v>
      </c>
      <c r="B328" s="97" t="s">
        <v>75</v>
      </c>
      <c r="C328" s="2" t="s">
        <v>100</v>
      </c>
      <c r="D328" s="2">
        <v>1</v>
      </c>
      <c r="E328" s="2">
        <v>1</v>
      </c>
      <c r="F328" s="26">
        <f>5254230/1024/1024</f>
        <v>5.010824203491211</v>
      </c>
      <c r="G328" s="26">
        <f>F328/1024</f>
        <v>0.004893383011221886</v>
      </c>
      <c r="H328" s="15"/>
      <c r="I328" s="9">
        <f>G328</f>
        <v>0.004893383011221886</v>
      </c>
      <c r="J328" s="179" t="s">
        <v>295</v>
      </c>
      <c r="K328" s="2" t="s">
        <v>304</v>
      </c>
      <c r="L328" s="2" t="s">
        <v>74</v>
      </c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</row>
    <row r="329" spans="1:90" s="79" customFormat="1" ht="13.5" thickBot="1">
      <c r="A329" s="7" t="s">
        <v>72</v>
      </c>
      <c r="B329" s="7" t="s">
        <v>315</v>
      </c>
      <c r="C329" s="6" t="s">
        <v>100</v>
      </c>
      <c r="D329" s="6">
        <v>1</v>
      </c>
      <c r="E329" s="6">
        <v>1</v>
      </c>
      <c r="F329" s="27">
        <f>2971140/1024/1024</f>
        <v>2.8334999084472656</v>
      </c>
      <c r="G329" s="27">
        <f>F329/1024</f>
        <v>0.002767089754343033</v>
      </c>
      <c r="H329" s="18"/>
      <c r="I329" s="10">
        <f>G329</f>
        <v>0.002767089754343033</v>
      </c>
      <c r="J329" s="182"/>
      <c r="K329" s="6" t="s">
        <v>304</v>
      </c>
      <c r="L329" s="6" t="s">
        <v>74</v>
      </c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</row>
    <row r="330" spans="1:12" ht="12.75">
      <c r="A330" s="4"/>
      <c r="B330" s="4"/>
      <c r="C330" s="5" t="s">
        <v>253</v>
      </c>
      <c r="D330" s="5"/>
      <c r="E330" s="5"/>
      <c r="F330" s="32">
        <f>SUM(F327:F329)</f>
        <v>10.67634105682373</v>
      </c>
      <c r="G330" s="32">
        <f>SUM(G327:G329)</f>
        <v>0.010426114313304424</v>
      </c>
      <c r="H330" s="28"/>
      <c r="I330" s="20">
        <f>SUM(I327:I329)</f>
        <v>0.0076604727655649185</v>
      </c>
      <c r="J330" s="63">
        <f>SUM(J327:J329)</f>
        <v>0</v>
      </c>
      <c r="K330" s="5"/>
      <c r="L330" s="5"/>
    </row>
    <row r="332" spans="1:79" s="37" customFormat="1" ht="12.75">
      <c r="A332" s="35"/>
      <c r="B332" s="35"/>
      <c r="C332" s="35" t="s">
        <v>139</v>
      </c>
      <c r="D332" s="35"/>
      <c r="E332" s="35"/>
      <c r="F332" s="36">
        <f>F330</f>
        <v>10.67634105682373</v>
      </c>
      <c r="G332" s="36">
        <f>G330</f>
        <v>0.010426114313304424</v>
      </c>
      <c r="H332" s="129">
        <f>H330</f>
        <v>0</v>
      </c>
      <c r="I332" s="137">
        <f>I330</f>
        <v>0.0076604727655649185</v>
      </c>
      <c r="J332" s="36">
        <f>J330</f>
        <v>0</v>
      </c>
      <c r="K332" s="35"/>
      <c r="L332" s="35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</row>
    <row r="334" spans="1:90" s="81" customFormat="1" ht="12.75">
      <c r="A334" s="50" t="s">
        <v>34</v>
      </c>
      <c r="B334" s="95" t="s">
        <v>35</v>
      </c>
      <c r="C334" s="51" t="s">
        <v>43</v>
      </c>
      <c r="D334" s="51">
        <v>1</v>
      </c>
      <c r="E334" s="51">
        <f>1/8</f>
        <v>0.125</v>
      </c>
      <c r="F334" s="180">
        <f>72098245/1024/1024</f>
        <v>68.75824451446533</v>
      </c>
      <c r="G334" s="52">
        <f>F334/1024</f>
        <v>0.06714672315865755</v>
      </c>
      <c r="H334" s="15">
        <f>G334</f>
        <v>0.06714672315865755</v>
      </c>
      <c r="I334" s="9"/>
      <c r="J334" s="179"/>
      <c r="K334" s="2" t="s">
        <v>304</v>
      </c>
      <c r="L334" s="51" t="s">
        <v>38</v>
      </c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</row>
    <row r="335" spans="1:90" s="81" customFormat="1" ht="12.75">
      <c r="A335" s="50" t="s">
        <v>34</v>
      </c>
      <c r="B335" s="50" t="s">
        <v>36</v>
      </c>
      <c r="C335" s="51" t="s">
        <v>43</v>
      </c>
      <c r="D335" s="51">
        <v>1</v>
      </c>
      <c r="E335" s="51">
        <f>1/8</f>
        <v>0.125</v>
      </c>
      <c r="F335" s="180">
        <f>3016341/1024/1024</f>
        <v>2.8766069412231445</v>
      </c>
      <c r="G335" s="52">
        <f>F335/1024</f>
        <v>0.002809186466038227</v>
      </c>
      <c r="H335" s="15"/>
      <c r="I335" s="9"/>
      <c r="J335" s="179" t="s">
        <v>295</v>
      </c>
      <c r="K335" s="2" t="s">
        <v>304</v>
      </c>
      <c r="L335" s="51" t="s">
        <v>38</v>
      </c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</row>
    <row r="336" spans="1:90" s="81" customFormat="1" ht="12.75">
      <c r="A336" s="50" t="s">
        <v>34</v>
      </c>
      <c r="B336" s="50" t="s">
        <v>37</v>
      </c>
      <c r="C336" s="51" t="s">
        <v>43</v>
      </c>
      <c r="D336" s="51">
        <v>1</v>
      </c>
      <c r="E336" s="51">
        <f>1/8</f>
        <v>0.125</v>
      </c>
      <c r="F336" s="180">
        <f>3327503/1024/1024</f>
        <v>3.173354148864746</v>
      </c>
      <c r="G336" s="52">
        <f>F336/1024</f>
        <v>0.0030989786610007286</v>
      </c>
      <c r="H336" s="15"/>
      <c r="I336" s="9"/>
      <c r="J336" s="179"/>
      <c r="K336" s="2" t="s">
        <v>304</v>
      </c>
      <c r="L336" s="51" t="s">
        <v>38</v>
      </c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</row>
    <row r="337" spans="1:90" s="79" customFormat="1" ht="13.5" thickBot="1">
      <c r="A337" s="58" t="s">
        <v>34</v>
      </c>
      <c r="B337" s="58" t="s">
        <v>315</v>
      </c>
      <c r="C337" s="59" t="s">
        <v>43</v>
      </c>
      <c r="D337" s="59">
        <v>1</v>
      </c>
      <c r="E337" s="59">
        <f>1/8</f>
        <v>0.125</v>
      </c>
      <c r="F337" s="185">
        <f>6345427/1024/1024</f>
        <v>6.051470756530762</v>
      </c>
      <c r="G337" s="60">
        <f>F337/1024</f>
        <v>0.005909639410674572</v>
      </c>
      <c r="H337" s="18">
        <f>G337</f>
        <v>0.005909639410674572</v>
      </c>
      <c r="I337" s="10"/>
      <c r="J337" s="182"/>
      <c r="K337" s="6" t="s">
        <v>304</v>
      </c>
      <c r="L337" s="59" t="s">
        <v>38</v>
      </c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</row>
    <row r="338" spans="1:10" ht="12.75">
      <c r="A338" s="62"/>
      <c r="B338" s="62"/>
      <c r="C338" s="65" t="s">
        <v>309</v>
      </c>
      <c r="D338" s="65"/>
      <c r="E338" s="65"/>
      <c r="F338" s="32">
        <f>SUM(F334:F337)</f>
        <v>80.85967636108398</v>
      </c>
      <c r="G338" s="32">
        <f>F338/1024</f>
        <v>0.07896452769637108</v>
      </c>
      <c r="H338" s="19">
        <f>SUM(H334:H337)</f>
        <v>0.07305636256933212</v>
      </c>
      <c r="J338" s="63">
        <f>SUM(J334:J337)</f>
        <v>0</v>
      </c>
    </row>
    <row r="339" spans="1:7" ht="12.75">
      <c r="A339" s="62"/>
      <c r="B339" s="62"/>
      <c r="C339" s="65"/>
      <c r="D339" s="65"/>
      <c r="E339" s="65"/>
      <c r="F339" s="32"/>
      <c r="G339" s="66"/>
    </row>
    <row r="340" spans="1:79" s="37" customFormat="1" ht="12.75">
      <c r="A340" s="35"/>
      <c r="B340" s="35"/>
      <c r="C340" s="35" t="s">
        <v>140</v>
      </c>
      <c r="D340" s="35"/>
      <c r="E340" s="35"/>
      <c r="F340" s="36">
        <f>F338</f>
        <v>80.85967636108398</v>
      </c>
      <c r="G340" s="36">
        <f>G338</f>
        <v>0.07896452769637108</v>
      </c>
      <c r="H340" s="129">
        <f>H338</f>
        <v>0.07305636256933212</v>
      </c>
      <c r="I340" s="137">
        <f>I338</f>
        <v>0</v>
      </c>
      <c r="J340" s="36">
        <f>J338</f>
        <v>0</v>
      </c>
      <c r="K340" s="35"/>
      <c r="L340" s="35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</row>
    <row r="342" spans="1:90" s="81" customFormat="1" ht="12.75">
      <c r="A342" s="50" t="s">
        <v>39</v>
      </c>
      <c r="B342" s="95" t="s">
        <v>370</v>
      </c>
      <c r="C342" s="51" t="s">
        <v>326</v>
      </c>
      <c r="D342" s="51">
        <v>1</v>
      </c>
      <c r="E342" s="51">
        <f>1/30</f>
        <v>0.03333333333333333</v>
      </c>
      <c r="F342" s="180">
        <f>(80996956/1024/1024)/30</f>
        <v>2.5748238881429035</v>
      </c>
      <c r="G342" s="52">
        <f>F342/1024</f>
        <v>0.0025144764532645542</v>
      </c>
      <c r="H342" s="15">
        <f>G342</f>
        <v>0.0025144764532645542</v>
      </c>
      <c r="I342" s="9"/>
      <c r="J342" s="179"/>
      <c r="K342" s="2" t="s">
        <v>304</v>
      </c>
      <c r="L342" s="51" t="s">
        <v>373</v>
      </c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</row>
    <row r="343" spans="1:90" s="81" customFormat="1" ht="12.75">
      <c r="A343" s="50" t="s">
        <v>39</v>
      </c>
      <c r="B343" s="50" t="s">
        <v>371</v>
      </c>
      <c r="C343" s="51" t="s">
        <v>326</v>
      </c>
      <c r="D343" s="51">
        <v>1</v>
      </c>
      <c r="E343" s="51">
        <f>1/30</f>
        <v>0.03333333333333333</v>
      </c>
      <c r="F343" s="180">
        <f>(2403648/1024/1024)/30</f>
        <v>0.076409912109375</v>
      </c>
      <c r="G343" s="52">
        <f>F343/1024</f>
        <v>7.461905479431153E-05</v>
      </c>
      <c r="H343" s="15"/>
      <c r="I343" s="9"/>
      <c r="J343" s="179" t="s">
        <v>295</v>
      </c>
      <c r="K343" s="2" t="s">
        <v>304</v>
      </c>
      <c r="L343" s="51" t="s">
        <v>373</v>
      </c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</row>
    <row r="344" spans="1:90" s="81" customFormat="1" ht="12.75">
      <c r="A344" s="50" t="s">
        <v>39</v>
      </c>
      <c r="B344" s="50" t="s">
        <v>372</v>
      </c>
      <c r="C344" s="51" t="s">
        <v>326</v>
      </c>
      <c r="D344" s="51">
        <v>1</v>
      </c>
      <c r="E344" s="51">
        <f>1/30</f>
        <v>0.03333333333333333</v>
      </c>
      <c r="F344" s="180">
        <f>(2842382/1024/1024)/30</f>
        <v>0.09035689036051432</v>
      </c>
      <c r="G344" s="52">
        <f>F344/1024</f>
        <v>8.823915074268977E-05</v>
      </c>
      <c r="H344" s="15"/>
      <c r="I344" s="9"/>
      <c r="J344" s="179"/>
      <c r="K344" s="2" t="s">
        <v>304</v>
      </c>
      <c r="L344" s="51" t="s">
        <v>373</v>
      </c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</row>
    <row r="345" spans="1:90" s="79" customFormat="1" ht="13.5" thickBot="1">
      <c r="A345" s="58" t="s">
        <v>39</v>
      </c>
      <c r="B345" s="58" t="s">
        <v>315</v>
      </c>
      <c r="C345" s="59" t="s">
        <v>326</v>
      </c>
      <c r="D345" s="59">
        <v>1</v>
      </c>
      <c r="E345" s="59">
        <f>1/30</f>
        <v>0.03333333333333333</v>
      </c>
      <c r="F345" s="185">
        <f>(5247613/1024/1024)/30</f>
        <v>0.16681712468465168</v>
      </c>
      <c r="G345" s="60">
        <f>F345/1024</f>
        <v>0.00016290734832485516</v>
      </c>
      <c r="H345" s="18">
        <f>G345</f>
        <v>0.00016290734832485516</v>
      </c>
      <c r="I345" s="10"/>
      <c r="J345" s="182"/>
      <c r="K345" s="6" t="s">
        <v>304</v>
      </c>
      <c r="L345" s="59" t="s">
        <v>373</v>
      </c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</row>
    <row r="346" spans="1:10" ht="12.75">
      <c r="A346" s="62"/>
      <c r="B346" s="62"/>
      <c r="C346" s="65" t="s">
        <v>309</v>
      </c>
      <c r="D346" s="65"/>
      <c r="E346" s="65"/>
      <c r="F346" s="32">
        <f>SUM(F342:F345)</f>
        <v>2.9084078152974446</v>
      </c>
      <c r="G346" s="32">
        <f>F346/1024</f>
        <v>0.0028402420071264108</v>
      </c>
      <c r="H346" s="19">
        <f>SUM(H342:H345)</f>
        <v>0.002677383801589409</v>
      </c>
      <c r="J346" s="63">
        <f>SUM(J342:J345)</f>
        <v>0</v>
      </c>
    </row>
    <row r="347" spans="1:7" ht="12.75">
      <c r="A347" s="62"/>
      <c r="B347" s="62"/>
      <c r="C347" s="65"/>
      <c r="D347" s="65"/>
      <c r="E347" s="65"/>
      <c r="F347" s="32"/>
      <c r="G347" s="66"/>
    </row>
    <row r="348" spans="1:79" s="37" customFormat="1" ht="12.75">
      <c r="A348" s="35"/>
      <c r="B348" s="35"/>
      <c r="C348" s="35" t="s">
        <v>141</v>
      </c>
      <c r="D348" s="35"/>
      <c r="E348" s="35"/>
      <c r="F348" s="36">
        <f>F346</f>
        <v>2.9084078152974446</v>
      </c>
      <c r="G348" s="36">
        <f>G346</f>
        <v>0.0028402420071264108</v>
      </c>
      <c r="H348" s="129">
        <f>H346</f>
        <v>0.002677383801589409</v>
      </c>
      <c r="I348" s="137">
        <f>I346</f>
        <v>0</v>
      </c>
      <c r="J348" s="36">
        <f>J346</f>
        <v>0</v>
      </c>
      <c r="K348" s="35"/>
      <c r="L348" s="35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</row>
    <row r="350" spans="1:90" s="81" customFormat="1" ht="12.75">
      <c r="A350" s="50" t="s">
        <v>76</v>
      </c>
      <c r="B350" s="50" t="s">
        <v>78</v>
      </c>
      <c r="C350" s="51" t="s">
        <v>43</v>
      </c>
      <c r="D350" s="51">
        <v>1</v>
      </c>
      <c r="E350" s="51">
        <f>1/8</f>
        <v>0.125</v>
      </c>
      <c r="F350" s="180">
        <f>(3192952/1024/1024)/8</f>
        <v>0.3806295394897461</v>
      </c>
      <c r="G350" s="52">
        <f>F350/1024</f>
        <v>0.00037170853465795517</v>
      </c>
      <c r="H350" s="15"/>
      <c r="I350" s="9"/>
      <c r="J350" s="179" t="s">
        <v>295</v>
      </c>
      <c r="K350" s="51" t="s">
        <v>304</v>
      </c>
      <c r="L350" s="51" t="s">
        <v>79</v>
      </c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</row>
    <row r="351" spans="1:90" s="81" customFormat="1" ht="12.75">
      <c r="A351" s="50" t="s">
        <v>76</v>
      </c>
      <c r="B351" s="95" t="s">
        <v>80</v>
      </c>
      <c r="C351" s="51" t="s">
        <v>43</v>
      </c>
      <c r="D351" s="51">
        <v>1</v>
      </c>
      <c r="E351" s="51">
        <f>1/8</f>
        <v>0.125</v>
      </c>
      <c r="F351" s="180">
        <f>(4446853/1024/1024)/8</f>
        <v>0.5301061868667603</v>
      </c>
      <c r="G351" s="52">
        <f>F351/1024</f>
        <v>0.0005176818231120706</v>
      </c>
      <c r="H351" s="131"/>
      <c r="I351" s="9">
        <f>G351</f>
        <v>0.0005176818231120706</v>
      </c>
      <c r="J351" s="179"/>
      <c r="K351" s="51" t="s">
        <v>304</v>
      </c>
      <c r="L351" s="51" t="s">
        <v>79</v>
      </c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</row>
    <row r="352" spans="1:90" s="79" customFormat="1" ht="13.5" thickBot="1">
      <c r="A352" s="58" t="s">
        <v>76</v>
      </c>
      <c r="B352" s="58" t="s">
        <v>315</v>
      </c>
      <c r="C352" s="59" t="s">
        <v>43</v>
      </c>
      <c r="D352" s="59">
        <v>1</v>
      </c>
      <c r="E352" s="59">
        <f>1/8</f>
        <v>0.125</v>
      </c>
      <c r="F352" s="185">
        <f>(3180266/1024/1024)/8</f>
        <v>0.3791172504425049</v>
      </c>
      <c r="G352" s="60">
        <f>F352/1024</f>
        <v>0.0003702316898852587</v>
      </c>
      <c r="H352" s="132"/>
      <c r="I352" s="10">
        <f>G352</f>
        <v>0.0003702316898852587</v>
      </c>
      <c r="J352" s="182"/>
      <c r="K352" s="59" t="s">
        <v>304</v>
      </c>
      <c r="L352" s="59" t="s">
        <v>79</v>
      </c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</row>
    <row r="353" spans="1:10" ht="12.75">
      <c r="A353" s="62"/>
      <c r="B353" s="62"/>
      <c r="C353" s="5" t="s">
        <v>253</v>
      </c>
      <c r="D353" s="5"/>
      <c r="E353" s="5"/>
      <c r="F353" s="32">
        <f>SUM(F350:F352)</f>
        <v>1.2898529767990112</v>
      </c>
      <c r="G353" s="32">
        <f>F353/1024</f>
        <v>0.0012596220476552844</v>
      </c>
      <c r="I353" s="29">
        <f>SUM(I350:I352)</f>
        <v>0.0008879135129973292</v>
      </c>
      <c r="J353" s="63">
        <f>SUM(J350:J352)</f>
        <v>0</v>
      </c>
    </row>
    <row r="355" spans="1:79" s="37" customFormat="1" ht="12.75">
      <c r="A355" s="35"/>
      <c r="B355" s="35"/>
      <c r="C355" s="35" t="s">
        <v>142</v>
      </c>
      <c r="D355" s="35"/>
      <c r="E355" s="35"/>
      <c r="F355" s="36">
        <f>F353</f>
        <v>1.2898529767990112</v>
      </c>
      <c r="G355" s="36">
        <f>G353</f>
        <v>0.0012596220476552844</v>
      </c>
      <c r="H355" s="129">
        <f>I353</f>
        <v>0.0008879135129973292</v>
      </c>
      <c r="I355" s="137">
        <f>J353</f>
        <v>0</v>
      </c>
      <c r="J355" s="36">
        <f>J353</f>
        <v>0</v>
      </c>
      <c r="K355" s="35"/>
      <c r="L355" s="3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</row>
    <row r="357" spans="1:90" s="81" customFormat="1" ht="12.75">
      <c r="A357" s="50" t="s">
        <v>81</v>
      </c>
      <c r="B357" s="50" t="s">
        <v>82</v>
      </c>
      <c r="C357" s="51" t="s">
        <v>100</v>
      </c>
      <c r="D357" s="51">
        <v>1</v>
      </c>
      <c r="E357" s="51">
        <v>1</v>
      </c>
      <c r="F357" s="180">
        <f>2164883/1024/1024</f>
        <v>2.0645933151245117</v>
      </c>
      <c r="G357" s="52">
        <f>F357/1024</f>
        <v>0.002016204409301281</v>
      </c>
      <c r="H357" s="15"/>
      <c r="I357" s="9"/>
      <c r="J357" s="179"/>
      <c r="K357" s="51" t="s">
        <v>304</v>
      </c>
      <c r="L357" s="51" t="s">
        <v>83</v>
      </c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</row>
    <row r="358" spans="1:90" s="81" customFormat="1" ht="12.75">
      <c r="A358" s="50" t="s">
        <v>81</v>
      </c>
      <c r="B358" s="50" t="s">
        <v>84</v>
      </c>
      <c r="C358" s="51" t="s">
        <v>100</v>
      </c>
      <c r="D358" s="51">
        <v>1</v>
      </c>
      <c r="E358" s="51">
        <v>1</v>
      </c>
      <c r="F358" s="180">
        <f>1205540/1024/1024</f>
        <v>1.1496925354003906</v>
      </c>
      <c r="G358" s="52">
        <f aca="true" t="shared" si="19" ref="G358:G363">F358/1024</f>
        <v>0.001122746616601944</v>
      </c>
      <c r="H358" s="15"/>
      <c r="I358" s="9"/>
      <c r="J358" s="179"/>
      <c r="K358" s="51" t="s">
        <v>304</v>
      </c>
      <c r="L358" s="51" t="s">
        <v>83</v>
      </c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</row>
    <row r="359" spans="1:90" s="81" customFormat="1" ht="12.75">
      <c r="A359" s="50" t="s">
        <v>81</v>
      </c>
      <c r="B359" s="50" t="s">
        <v>85</v>
      </c>
      <c r="C359" s="51" t="s">
        <v>100</v>
      </c>
      <c r="D359" s="51">
        <v>1</v>
      </c>
      <c r="E359" s="51">
        <v>1</v>
      </c>
      <c r="F359" s="180">
        <f>2338063/1024/1024</f>
        <v>2.229750633239746</v>
      </c>
      <c r="G359" s="52">
        <f t="shared" si="19"/>
        <v>0.0021774908527731895</v>
      </c>
      <c r="H359" s="15"/>
      <c r="I359" s="9"/>
      <c r="J359" s="179"/>
      <c r="K359" s="51" t="s">
        <v>304</v>
      </c>
      <c r="L359" s="51" t="s">
        <v>83</v>
      </c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</row>
    <row r="360" spans="1:90" s="81" customFormat="1" ht="12.75">
      <c r="A360" s="50" t="s">
        <v>81</v>
      </c>
      <c r="B360" s="50" t="s">
        <v>86</v>
      </c>
      <c r="C360" s="51" t="s">
        <v>100</v>
      </c>
      <c r="D360" s="51">
        <v>1</v>
      </c>
      <c r="E360" s="51">
        <v>1</v>
      </c>
      <c r="F360" s="180">
        <f>1426600/1024/1024</f>
        <v>1.3605117797851562</v>
      </c>
      <c r="G360" s="52">
        <f t="shared" si="19"/>
        <v>0.0013286247849464417</v>
      </c>
      <c r="H360" s="15"/>
      <c r="I360" s="9"/>
      <c r="J360" s="179"/>
      <c r="K360" s="51" t="s">
        <v>304</v>
      </c>
      <c r="L360" s="51" t="s">
        <v>83</v>
      </c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</row>
    <row r="361" spans="1:90" s="81" customFormat="1" ht="12.75">
      <c r="A361" s="50" t="s">
        <v>81</v>
      </c>
      <c r="B361" s="95" t="s">
        <v>87</v>
      </c>
      <c r="C361" s="51" t="s">
        <v>100</v>
      </c>
      <c r="D361" s="51">
        <v>1</v>
      </c>
      <c r="E361" s="51">
        <v>1</v>
      </c>
      <c r="F361" s="180">
        <f>3515268/1024/1024</f>
        <v>3.3524208068847656</v>
      </c>
      <c r="G361" s="52">
        <f t="shared" si="19"/>
        <v>0.003273848444223404</v>
      </c>
      <c r="H361" s="15"/>
      <c r="I361" s="9">
        <f>G361</f>
        <v>0.003273848444223404</v>
      </c>
      <c r="J361" s="179"/>
      <c r="K361" s="51" t="s">
        <v>304</v>
      </c>
      <c r="L361" s="51" t="s">
        <v>83</v>
      </c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</row>
    <row r="362" spans="1:90" s="79" customFormat="1" ht="13.5" thickBot="1">
      <c r="A362" s="58" t="s">
        <v>81</v>
      </c>
      <c r="B362" s="58" t="s">
        <v>315</v>
      </c>
      <c r="C362" s="59" t="s">
        <v>100</v>
      </c>
      <c r="D362" s="59">
        <v>1</v>
      </c>
      <c r="E362" s="59">
        <v>1</v>
      </c>
      <c r="F362" s="185">
        <f>7254036/1024/1024</f>
        <v>6.917987823486328</v>
      </c>
      <c r="G362" s="60">
        <f t="shared" si="19"/>
        <v>0.006755847483873367</v>
      </c>
      <c r="H362" s="18"/>
      <c r="I362" s="10">
        <f>G362</f>
        <v>0.006755847483873367</v>
      </c>
      <c r="J362" s="182" t="s">
        <v>295</v>
      </c>
      <c r="K362" s="59" t="s">
        <v>304</v>
      </c>
      <c r="L362" s="59" t="s">
        <v>83</v>
      </c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</row>
    <row r="363" spans="1:10" ht="12.75">
      <c r="A363" s="62"/>
      <c r="B363" s="62"/>
      <c r="C363" s="5" t="s">
        <v>253</v>
      </c>
      <c r="D363" s="5"/>
      <c r="E363" s="5"/>
      <c r="F363" s="32">
        <f>SUM(F357:F362)</f>
        <v>17.0749568939209</v>
      </c>
      <c r="G363" s="32">
        <f t="shared" si="19"/>
        <v>0.016674762591719627</v>
      </c>
      <c r="I363" s="20">
        <f>SUM(I357:I362)</f>
        <v>0.010029695928096771</v>
      </c>
      <c r="J363" s="63">
        <f>SUM(J357:J362)</f>
        <v>0</v>
      </c>
    </row>
    <row r="365" spans="1:79" s="37" customFormat="1" ht="12.75">
      <c r="A365" s="35"/>
      <c r="B365" s="35"/>
      <c r="C365" s="35" t="s">
        <v>143</v>
      </c>
      <c r="D365" s="35"/>
      <c r="E365" s="35"/>
      <c r="F365" s="36">
        <f>F363</f>
        <v>17.0749568939209</v>
      </c>
      <c r="G365" s="36">
        <f>G363</f>
        <v>0.016674762591719627</v>
      </c>
      <c r="H365" s="129">
        <f>H363</f>
        <v>0</v>
      </c>
      <c r="I365" s="137">
        <f>I363</f>
        <v>0.010029695928096771</v>
      </c>
      <c r="J365" s="36">
        <f>J363</f>
        <v>0</v>
      </c>
      <c r="K365" s="35"/>
      <c r="L365" s="3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</row>
    <row r="367" spans="1:90" s="81" customFormat="1" ht="12.75">
      <c r="A367" s="51" t="s">
        <v>88</v>
      </c>
      <c r="B367" s="99" t="s">
        <v>89</v>
      </c>
      <c r="C367" s="51" t="s">
        <v>287</v>
      </c>
      <c r="D367" s="51">
        <v>266</v>
      </c>
      <c r="E367" s="51">
        <f>266/30</f>
        <v>8.866666666666667</v>
      </c>
      <c r="F367" s="180">
        <f>((2179959.27067669/1024/1024)*D367)/30</f>
        <v>18.433544349670395</v>
      </c>
      <c r="G367" s="52">
        <f>F367/1024</f>
        <v>0.018001508153974995</v>
      </c>
      <c r="H367" s="15">
        <f>G367</f>
        <v>0.018001508153974995</v>
      </c>
      <c r="I367" s="9"/>
      <c r="J367" s="179" t="s">
        <v>295</v>
      </c>
      <c r="K367" s="51" t="s">
        <v>90</v>
      </c>
      <c r="L367" s="51" t="s">
        <v>91</v>
      </c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</row>
    <row r="368" spans="1:90" s="81" customFormat="1" ht="12.75">
      <c r="A368" s="51" t="s">
        <v>88</v>
      </c>
      <c r="B368" s="99" t="s">
        <v>236</v>
      </c>
      <c r="C368" s="51" t="s">
        <v>287</v>
      </c>
      <c r="D368" s="51">
        <v>266</v>
      </c>
      <c r="E368" s="51">
        <f>266/30</f>
        <v>8.866666666666667</v>
      </c>
      <c r="F368" s="180">
        <f>((146109.646616541/1024/1024)*D368)/30</f>
        <v>1.235490353902178</v>
      </c>
      <c r="G368" s="52">
        <f>F368/1024</f>
        <v>0.0012065335487325957</v>
      </c>
      <c r="H368" s="15"/>
      <c r="I368" s="9"/>
      <c r="J368" s="179"/>
      <c r="K368" s="51" t="s">
        <v>90</v>
      </c>
      <c r="L368" s="51" t="s">
        <v>91</v>
      </c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</row>
    <row r="369" spans="1:90" s="79" customFormat="1" ht="13.5" thickBot="1">
      <c r="A369" s="59" t="s">
        <v>88</v>
      </c>
      <c r="B369" s="100" t="s">
        <v>92</v>
      </c>
      <c r="C369" s="59" t="s">
        <v>287</v>
      </c>
      <c r="D369" s="59">
        <v>266</v>
      </c>
      <c r="E369" s="59">
        <f>266/30</f>
        <v>8.866666666666667</v>
      </c>
      <c r="F369" s="185">
        <f>((16955571.3157894/1024/1024)*D369)/30</f>
        <v>143.37482357025087</v>
      </c>
      <c r="G369" s="60">
        <f>F369/1024</f>
        <v>0.1400144761428231</v>
      </c>
      <c r="H369" s="18"/>
      <c r="I369" s="10"/>
      <c r="J369" s="182"/>
      <c r="K369" s="59" t="s">
        <v>90</v>
      </c>
      <c r="L369" s="59" t="s">
        <v>91</v>
      </c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</row>
    <row r="370" spans="1:10" ht="12.75">
      <c r="A370" s="62"/>
      <c r="B370" s="62"/>
      <c r="C370" s="73" t="s">
        <v>193</v>
      </c>
      <c r="D370" s="73"/>
      <c r="E370" s="73"/>
      <c r="F370" s="30">
        <f>SUM(F367:F369)</f>
        <v>163.04385827382345</v>
      </c>
      <c r="G370" s="63">
        <f>F370/1024</f>
        <v>0.1592225178455307</v>
      </c>
      <c r="H370" s="19">
        <f>SUM(H367:H369)</f>
        <v>0.018001508153974995</v>
      </c>
      <c r="J370" s="63">
        <f>SUM(J367:J369)</f>
        <v>0</v>
      </c>
    </row>
    <row r="371" spans="1:5" ht="12.75">
      <c r="A371" s="62"/>
      <c r="B371" s="62"/>
      <c r="C371" s="73"/>
      <c r="D371" s="73"/>
      <c r="E371" s="73"/>
    </row>
    <row r="372" spans="1:79" s="92" customFormat="1" ht="12.75">
      <c r="A372" s="90"/>
      <c r="B372" s="90"/>
      <c r="C372" s="90" t="s">
        <v>144</v>
      </c>
      <c r="D372" s="90"/>
      <c r="E372" s="90"/>
      <c r="F372" s="91">
        <f>F370</f>
        <v>163.04385827382345</v>
      </c>
      <c r="G372" s="91">
        <f>G370</f>
        <v>0.1592225178455307</v>
      </c>
      <c r="H372" s="133">
        <f>H370</f>
        <v>0.018001508153974995</v>
      </c>
      <c r="I372" s="138">
        <f>I370</f>
        <v>0</v>
      </c>
      <c r="J372" s="91">
        <f>J370</f>
        <v>0</v>
      </c>
      <c r="K372" s="90"/>
      <c r="L372" s="9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</row>
    <row r="373" spans="1:5" ht="12.75">
      <c r="A373" s="62"/>
      <c r="B373" s="62"/>
      <c r="C373" s="73"/>
      <c r="D373" s="73"/>
      <c r="E373" s="73"/>
    </row>
    <row r="374" spans="1:12" ht="12.75">
      <c r="A374" s="50" t="s">
        <v>231</v>
      </c>
      <c r="B374" s="95" t="s">
        <v>232</v>
      </c>
      <c r="C374" s="114" t="s">
        <v>234</v>
      </c>
      <c r="D374" s="114">
        <v>286</v>
      </c>
      <c r="E374" s="114">
        <f>286/30</f>
        <v>9.533333333333333</v>
      </c>
      <c r="F374" s="180">
        <f>((1213586.98601398/1024/1024)*D374)/4</f>
        <v>82.75172185897786</v>
      </c>
      <c r="G374" s="52">
        <f>F374/1024</f>
        <v>0.08081222837790807</v>
      </c>
      <c r="H374" s="15"/>
      <c r="I374" s="9"/>
      <c r="J374" s="179"/>
      <c r="K374" s="51" t="s">
        <v>90</v>
      </c>
      <c r="L374" s="51" t="s">
        <v>235</v>
      </c>
    </row>
    <row r="375" spans="1:12" ht="13.5" thickBot="1">
      <c r="A375" s="58" t="s">
        <v>231</v>
      </c>
      <c r="B375" s="96" t="s">
        <v>233</v>
      </c>
      <c r="C375" s="115" t="s">
        <v>234</v>
      </c>
      <c r="D375" s="115">
        <v>286</v>
      </c>
      <c r="E375" s="115">
        <f>286/30</f>
        <v>9.533333333333333</v>
      </c>
      <c r="F375" s="185">
        <f>((121442.559440559/1024/1024)*D375)/4</f>
        <v>8.280890464782685</v>
      </c>
      <c r="G375" s="60">
        <f>F375/1024</f>
        <v>0.00808680709451434</v>
      </c>
      <c r="H375" s="18"/>
      <c r="I375" s="10"/>
      <c r="J375" s="182"/>
      <c r="K375" s="59" t="s">
        <v>90</v>
      </c>
      <c r="L375" s="59" t="s">
        <v>235</v>
      </c>
    </row>
    <row r="376" spans="1:10" ht="12.75">
      <c r="A376" s="62"/>
      <c r="B376" s="113"/>
      <c r="C376" s="73" t="s">
        <v>193</v>
      </c>
      <c r="D376" s="73"/>
      <c r="E376" s="73"/>
      <c r="F376" s="30">
        <f>SUM(F374:F375)</f>
        <v>91.03261232376055</v>
      </c>
      <c r="G376" s="63">
        <f>SUM(G374:G375)</f>
        <v>0.08889903547242241</v>
      </c>
      <c r="J376" s="63">
        <f>SUM(J374:J375)</f>
        <v>0</v>
      </c>
    </row>
    <row r="378" spans="1:79" s="92" customFormat="1" ht="12.75">
      <c r="A378" s="90"/>
      <c r="B378" s="90"/>
      <c r="C378" s="90" t="s">
        <v>177</v>
      </c>
      <c r="D378" s="90"/>
      <c r="E378" s="90"/>
      <c r="F378" s="91">
        <f>F376</f>
        <v>91.03261232376055</v>
      </c>
      <c r="G378" s="91">
        <f>G376</f>
        <v>0.08889903547242241</v>
      </c>
      <c r="H378" s="133">
        <f>H376</f>
        <v>0</v>
      </c>
      <c r="I378" s="138">
        <f>I376</f>
        <v>0</v>
      </c>
      <c r="J378" s="91">
        <f>J376</f>
        <v>0</v>
      </c>
      <c r="K378" s="90"/>
      <c r="L378" s="9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</row>
    <row r="379" spans="6:79" s="116" customFormat="1" ht="12.75">
      <c r="F379" s="117"/>
      <c r="G379" s="117"/>
      <c r="H379" s="134"/>
      <c r="I379" s="139"/>
      <c r="J379" s="117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  <c r="BV379" s="118"/>
      <c r="BW379" s="118"/>
      <c r="BX379" s="118"/>
      <c r="BY379" s="118"/>
      <c r="BZ379" s="118"/>
      <c r="CA379" s="118"/>
    </row>
    <row r="380" spans="1:12" ht="12.75">
      <c r="A380" s="37"/>
      <c r="B380" s="37"/>
      <c r="C380" s="37" t="s">
        <v>201</v>
      </c>
      <c r="D380" s="37"/>
      <c r="E380" s="37"/>
      <c r="F380" s="93"/>
      <c r="G380" s="93">
        <f>G372+G365+G355+G348+G340+G332+G325+G306+G291+G286+G278+G270+G262+G255+G192+G164+G116+G100+G80+G38+G23+G236+G378</f>
        <v>269.05920169100597</v>
      </c>
      <c r="H380" s="135">
        <f>H372+H365+H355+H348+H340+H332+H325+H306+H291+H286+H278+H270+H262+H255+H192+H164+H116+H100+H80+H38+H23+H236+H378</f>
        <v>64.23825893718124</v>
      </c>
      <c r="I380" s="140">
        <f>I372+I365+I355+I348+I340+I332+I325+I306+I291+I286+I278+I270+I262+I255+I192+I164+I116+I100+I80+I38+I23+I236+I378</f>
        <v>0.9457665635924781</v>
      </c>
      <c r="J380" s="93">
        <f>J372+J365+J355+J348+J340+J332+J325+J306+J291+J286+J278+J270+J262+J255+J192+J164+J116+J100+J80+J38+J23+J236+J378</f>
        <v>6.902990269338087</v>
      </c>
      <c r="K380" s="37"/>
      <c r="L380" s="168"/>
    </row>
    <row r="381" spans="1:12" ht="12.75">
      <c r="A381" s="40"/>
      <c r="B381" s="40"/>
      <c r="C381" s="40"/>
      <c r="D381" s="40"/>
      <c r="E381" s="40"/>
      <c r="F381" s="188"/>
      <c r="G381" s="86"/>
      <c r="H381" s="136"/>
      <c r="I381" s="141"/>
      <c r="J381" s="86"/>
      <c r="K381" s="40"/>
      <c r="L381" s="169"/>
    </row>
    <row r="382" spans="1:12" ht="12.75">
      <c r="A382" s="40"/>
      <c r="B382" s="167" t="s">
        <v>243</v>
      </c>
      <c r="C382" s="161"/>
      <c r="D382" s="161"/>
      <c r="E382" s="161"/>
      <c r="F382" s="162"/>
      <c r="G382" s="162"/>
      <c r="H382" s="163"/>
      <c r="I382" s="152"/>
      <c r="J382" s="153"/>
      <c r="K382" s="40"/>
      <c r="L382" s="169"/>
    </row>
    <row r="383" spans="1:12" ht="12.75">
      <c r="A383" s="40"/>
      <c r="B383" s="145" t="s">
        <v>77</v>
      </c>
      <c r="C383" s="142"/>
      <c r="D383" s="142"/>
      <c r="E383" s="142"/>
      <c r="F383" s="143"/>
      <c r="G383" s="143"/>
      <c r="H383" s="144"/>
      <c r="I383" s="165"/>
      <c r="J383" s="166"/>
      <c r="K383" s="40"/>
      <c r="L383" s="169"/>
    </row>
    <row r="384" spans="1:12" ht="12.75">
      <c r="A384" s="40"/>
      <c r="B384" s="146" t="s">
        <v>244</v>
      </c>
      <c r="C384" s="142"/>
      <c r="D384" s="142"/>
      <c r="E384" s="142"/>
      <c r="F384" s="143"/>
      <c r="G384" s="143"/>
      <c r="H384" s="144"/>
      <c r="I384" s="165"/>
      <c r="J384" s="166"/>
      <c r="K384" s="40"/>
      <c r="L384" s="169"/>
    </row>
    <row r="385" spans="1:12" ht="12.75">
      <c r="A385" s="40"/>
      <c r="B385" s="164" t="s">
        <v>0</v>
      </c>
      <c r="C385" s="142"/>
      <c r="D385" s="142"/>
      <c r="E385" s="142"/>
      <c r="F385" s="143"/>
      <c r="G385" s="143"/>
      <c r="H385" s="144"/>
      <c r="I385" s="165"/>
      <c r="J385" s="166"/>
      <c r="K385" s="40"/>
      <c r="L385" s="169"/>
    </row>
    <row r="386" spans="1:12" ht="12.75">
      <c r="A386" s="40"/>
      <c r="B386" s="147" t="s">
        <v>328</v>
      </c>
      <c r="C386" s="148"/>
      <c r="D386" s="148"/>
      <c r="E386" s="148"/>
      <c r="F386" s="149"/>
      <c r="G386" s="149"/>
      <c r="H386" s="150"/>
      <c r="I386" s="159"/>
      <c r="J386" s="160"/>
      <c r="K386" s="40"/>
      <c r="L386" s="169"/>
    </row>
    <row r="387" spans="1:12" ht="12.75">
      <c r="A387" s="40"/>
      <c r="B387" s="155" t="s">
        <v>329</v>
      </c>
      <c r="C387" s="156"/>
      <c r="D387" s="156"/>
      <c r="E387" s="156"/>
      <c r="F387" s="157"/>
      <c r="G387" s="157"/>
      <c r="H387" s="158"/>
      <c r="I387" s="151"/>
      <c r="J387" s="154"/>
      <c r="K387" s="40"/>
      <c r="L387" s="169"/>
    </row>
    <row r="388" spans="1:12" ht="12.75">
      <c r="A388" s="40"/>
      <c r="B388" s="40"/>
      <c r="C388" s="40"/>
      <c r="D388" s="40"/>
      <c r="E388" s="40"/>
      <c r="F388" s="188"/>
      <c r="G388" s="86"/>
      <c r="H388" s="136"/>
      <c r="I388" s="141"/>
      <c r="J388" s="86"/>
      <c r="K388" s="40"/>
      <c r="L388" s="169"/>
    </row>
    <row r="389" spans="1:12" ht="12.75">
      <c r="A389" s="40"/>
      <c r="B389" s="40" t="s">
        <v>238</v>
      </c>
      <c r="C389" s="40"/>
      <c r="D389" s="40"/>
      <c r="E389" s="40"/>
      <c r="F389" s="188"/>
      <c r="G389" s="86"/>
      <c r="H389" s="136"/>
      <c r="I389" s="141"/>
      <c r="J389" s="86"/>
      <c r="K389" s="40"/>
      <c r="L389" s="169"/>
    </row>
    <row r="390" spans="1:12" ht="12.75">
      <c r="A390" s="40"/>
      <c r="B390" s="40" t="s">
        <v>239</v>
      </c>
      <c r="C390" s="40"/>
      <c r="D390" s="40"/>
      <c r="E390" s="40"/>
      <c r="F390" s="188"/>
      <c r="G390" s="86"/>
      <c r="H390" s="136"/>
      <c r="I390" s="141"/>
      <c r="J390" s="86"/>
      <c r="K390" s="40"/>
      <c r="L390" s="169"/>
    </row>
    <row r="391" spans="1:12" ht="12.75">
      <c r="A391" s="40"/>
      <c r="B391" s="40"/>
      <c r="C391" s="40"/>
      <c r="D391" s="40"/>
      <c r="E391" s="40"/>
      <c r="F391" s="188"/>
      <c r="G391" s="86"/>
      <c r="H391" s="136"/>
      <c r="I391" s="141"/>
      <c r="J391" s="86"/>
      <c r="K391" s="40"/>
      <c r="L391" s="169"/>
    </row>
    <row r="392" spans="1:12" ht="12.75">
      <c r="A392" s="40"/>
      <c r="B392" s="40"/>
      <c r="C392" s="40"/>
      <c r="D392" s="40"/>
      <c r="E392" s="40"/>
      <c r="F392" s="188"/>
      <c r="G392" s="86"/>
      <c r="H392" s="136"/>
      <c r="I392" s="141"/>
      <c r="J392" s="86"/>
      <c r="K392" s="40"/>
      <c r="L392" s="169"/>
    </row>
    <row r="393" spans="1:12" ht="12.75">
      <c r="A393" s="40"/>
      <c r="B393" s="40"/>
      <c r="C393" s="40"/>
      <c r="D393" s="40"/>
      <c r="E393" s="40"/>
      <c r="F393" s="188"/>
      <c r="G393" s="86"/>
      <c r="H393" s="136"/>
      <c r="I393" s="141"/>
      <c r="J393" s="86"/>
      <c r="K393" s="40"/>
      <c r="L393" s="169"/>
    </row>
    <row r="394" spans="1:12" ht="12.75">
      <c r="A394" s="40"/>
      <c r="B394" s="40"/>
      <c r="C394" s="40"/>
      <c r="D394" s="40"/>
      <c r="E394" s="40"/>
      <c r="F394" s="188"/>
      <c r="G394" s="86"/>
      <c r="H394" s="136"/>
      <c r="I394" s="141"/>
      <c r="J394" s="86"/>
      <c r="K394" s="40"/>
      <c r="L394" s="87"/>
    </row>
    <row r="395" spans="1:12" ht="12.75">
      <c r="A395" s="40"/>
      <c r="B395" s="40"/>
      <c r="C395" s="40"/>
      <c r="D395" s="40"/>
      <c r="E395" s="40"/>
      <c r="F395" s="188"/>
      <c r="G395" s="86"/>
      <c r="H395" s="136"/>
      <c r="I395" s="141"/>
      <c r="J395" s="86"/>
      <c r="K395" s="40"/>
      <c r="L395" s="87"/>
    </row>
    <row r="396" spans="1:12" ht="12.75">
      <c r="A396" s="40"/>
      <c r="B396" s="40"/>
      <c r="C396" s="40"/>
      <c r="D396" s="40"/>
      <c r="E396" s="40"/>
      <c r="F396" s="188"/>
      <c r="G396" s="86"/>
      <c r="H396" s="136"/>
      <c r="I396" s="141"/>
      <c r="J396" s="86"/>
      <c r="K396" s="40"/>
      <c r="L396" s="87"/>
    </row>
    <row r="397" spans="1:12" ht="12.75">
      <c r="A397" s="40"/>
      <c r="B397" s="40"/>
      <c r="C397" s="40"/>
      <c r="D397" s="40"/>
      <c r="E397" s="40"/>
      <c r="F397" s="188"/>
      <c r="G397" s="86"/>
      <c r="H397" s="136"/>
      <c r="I397" s="141"/>
      <c r="J397" s="86"/>
      <c r="K397" s="40"/>
      <c r="L397" s="87"/>
    </row>
    <row r="398" spans="1:12" ht="12.75">
      <c r="A398" s="40"/>
      <c r="B398" s="40"/>
      <c r="C398" s="40"/>
      <c r="D398" s="40"/>
      <c r="E398" s="40"/>
      <c r="F398" s="188"/>
      <c r="G398" s="86"/>
      <c r="H398" s="136"/>
      <c r="I398" s="141"/>
      <c r="J398" s="86"/>
      <c r="K398" s="40"/>
      <c r="L398" s="87"/>
    </row>
    <row r="399" spans="1:12" ht="12.75">
      <c r="A399" s="40"/>
      <c r="B399" s="40"/>
      <c r="C399" s="40"/>
      <c r="D399" s="40"/>
      <c r="E399" s="40"/>
      <c r="F399" s="188"/>
      <c r="G399" s="86"/>
      <c r="H399" s="136"/>
      <c r="I399" s="141"/>
      <c r="J399" s="86"/>
      <c r="K399" s="40"/>
      <c r="L399" s="87"/>
    </row>
    <row r="400" spans="1:12" ht="12.75">
      <c r="A400" s="40"/>
      <c r="B400" s="40"/>
      <c r="C400" s="40"/>
      <c r="D400" s="40"/>
      <c r="E400" s="40"/>
      <c r="F400" s="188"/>
      <c r="G400" s="86"/>
      <c r="H400" s="136"/>
      <c r="I400" s="141"/>
      <c r="J400" s="86"/>
      <c r="K400" s="40"/>
      <c r="L400" s="87"/>
    </row>
    <row r="401" spans="1:12" ht="12.75">
      <c r="A401" s="40"/>
      <c r="B401" s="40"/>
      <c r="C401" s="40"/>
      <c r="D401" s="40"/>
      <c r="E401" s="40"/>
      <c r="F401" s="188"/>
      <c r="G401" s="86"/>
      <c r="H401" s="136"/>
      <c r="I401" s="141"/>
      <c r="J401" s="86"/>
      <c r="K401" s="40"/>
      <c r="L401" s="87"/>
    </row>
    <row r="402" spans="1:12" ht="12.75">
      <c r="A402" s="40"/>
      <c r="B402" s="40"/>
      <c r="C402" s="40"/>
      <c r="D402" s="40"/>
      <c r="E402" s="40"/>
      <c r="F402" s="188"/>
      <c r="G402" s="86"/>
      <c r="H402" s="136"/>
      <c r="I402" s="141"/>
      <c r="J402" s="86"/>
      <c r="K402" s="40"/>
      <c r="L402" s="87"/>
    </row>
    <row r="403" spans="1:12" ht="12.75">
      <c r="A403" s="40"/>
      <c r="B403" s="40"/>
      <c r="C403" s="40"/>
      <c r="D403" s="40"/>
      <c r="E403" s="40"/>
      <c r="F403" s="188"/>
      <c r="G403" s="86"/>
      <c r="H403" s="136"/>
      <c r="I403" s="141"/>
      <c r="J403" s="86"/>
      <c r="K403" s="40"/>
      <c r="L403" s="87"/>
    </row>
    <row r="404" spans="1:12" ht="12.75">
      <c r="A404" s="40"/>
      <c r="B404" s="40"/>
      <c r="C404" s="40"/>
      <c r="D404" s="40"/>
      <c r="E404" s="40"/>
      <c r="F404" s="188"/>
      <c r="G404" s="86"/>
      <c r="H404" s="136"/>
      <c r="I404" s="141"/>
      <c r="J404" s="86"/>
      <c r="K404" s="40"/>
      <c r="L404" s="87"/>
    </row>
    <row r="405" spans="1:12" ht="12.75">
      <c r="A405" s="40"/>
      <c r="B405" s="40"/>
      <c r="C405" s="40"/>
      <c r="D405" s="40"/>
      <c r="E405" s="40"/>
      <c r="F405" s="188"/>
      <c r="G405" s="86"/>
      <c r="H405" s="136"/>
      <c r="I405" s="141"/>
      <c r="J405" s="86"/>
      <c r="K405" s="40"/>
      <c r="L405" s="87"/>
    </row>
    <row r="406" spans="1:12" ht="12.75">
      <c r="A406" s="40"/>
      <c r="B406" s="40"/>
      <c r="C406" s="40"/>
      <c r="D406" s="40"/>
      <c r="E406" s="40"/>
      <c r="F406" s="188"/>
      <c r="G406" s="86"/>
      <c r="H406" s="136"/>
      <c r="I406" s="141"/>
      <c r="J406" s="86"/>
      <c r="K406" s="40"/>
      <c r="L406" s="87"/>
    </row>
    <row r="407" spans="1:12" ht="12.75">
      <c r="A407" s="40"/>
      <c r="B407" s="40"/>
      <c r="C407" s="40"/>
      <c r="D407" s="40"/>
      <c r="E407" s="40"/>
      <c r="F407" s="188"/>
      <c r="G407" s="86"/>
      <c r="H407" s="136"/>
      <c r="I407" s="141"/>
      <c r="J407" s="86"/>
      <c r="K407" s="40"/>
      <c r="L407" s="87"/>
    </row>
    <row r="408" spans="1:12" ht="12.75">
      <c r="A408" s="40"/>
      <c r="B408" s="40"/>
      <c r="C408" s="40"/>
      <c r="D408" s="40"/>
      <c r="E408" s="40"/>
      <c r="F408" s="188"/>
      <c r="G408" s="86"/>
      <c r="H408" s="136"/>
      <c r="I408" s="141"/>
      <c r="J408" s="86"/>
      <c r="K408" s="40"/>
      <c r="L408" s="87"/>
    </row>
    <row r="409" spans="1:12" ht="12.75">
      <c r="A409" s="40"/>
      <c r="B409" s="40"/>
      <c r="C409" s="40"/>
      <c r="D409" s="40"/>
      <c r="E409" s="40"/>
      <c r="F409" s="188"/>
      <c r="G409" s="86"/>
      <c r="H409" s="136"/>
      <c r="I409" s="141"/>
      <c r="J409" s="86"/>
      <c r="K409" s="40"/>
      <c r="L409" s="87"/>
    </row>
    <row r="410" spans="1:12" ht="12.75">
      <c r="A410" s="40"/>
      <c r="B410" s="40"/>
      <c r="C410" s="40"/>
      <c r="D410" s="40"/>
      <c r="E410" s="40"/>
      <c r="F410" s="188"/>
      <c r="G410" s="86"/>
      <c r="H410" s="136"/>
      <c r="I410" s="141"/>
      <c r="J410" s="86"/>
      <c r="K410" s="40"/>
      <c r="L410" s="87"/>
    </row>
    <row r="411" spans="1:12" ht="12.75">
      <c r="A411" s="40"/>
      <c r="B411" s="40"/>
      <c r="C411" s="40"/>
      <c r="D411" s="40"/>
      <c r="E411" s="40"/>
      <c r="F411" s="188"/>
      <c r="G411" s="86"/>
      <c r="H411" s="136"/>
      <c r="I411" s="141"/>
      <c r="J411" s="86"/>
      <c r="K411" s="40"/>
      <c r="L411" s="87"/>
    </row>
    <row r="412" spans="1:12" ht="12.75">
      <c r="A412" s="40"/>
      <c r="B412" s="40"/>
      <c r="C412" s="40"/>
      <c r="D412" s="40"/>
      <c r="E412" s="40"/>
      <c r="F412" s="188"/>
      <c r="G412" s="86"/>
      <c r="H412" s="136"/>
      <c r="I412" s="141"/>
      <c r="J412" s="86"/>
      <c r="K412" s="40"/>
      <c r="L412" s="87"/>
    </row>
    <row r="413" spans="1:12" ht="12.75">
      <c r="A413" s="40"/>
      <c r="B413" s="40"/>
      <c r="C413" s="40"/>
      <c r="D413" s="40"/>
      <c r="E413" s="40"/>
      <c r="F413" s="188"/>
      <c r="G413" s="86"/>
      <c r="H413" s="136"/>
      <c r="I413" s="141"/>
      <c r="J413" s="86"/>
      <c r="K413" s="40"/>
      <c r="L413" s="87"/>
    </row>
    <row r="414" spans="1:12" ht="12.75">
      <c r="A414" s="40"/>
      <c r="B414" s="40"/>
      <c r="C414" s="40"/>
      <c r="D414" s="40"/>
      <c r="E414" s="40"/>
      <c r="F414" s="188"/>
      <c r="G414" s="86"/>
      <c r="H414" s="136"/>
      <c r="I414" s="141"/>
      <c r="J414" s="86"/>
      <c r="K414" s="40"/>
      <c r="L414" s="87"/>
    </row>
    <row r="415" spans="1:12" ht="12.75">
      <c r="A415" s="40"/>
      <c r="B415" s="40"/>
      <c r="C415" s="40"/>
      <c r="D415" s="40"/>
      <c r="E415" s="40"/>
      <c r="F415" s="188"/>
      <c r="G415" s="86"/>
      <c r="H415" s="136"/>
      <c r="I415" s="141"/>
      <c r="J415" s="86"/>
      <c r="K415" s="40"/>
      <c r="L415" s="87"/>
    </row>
    <row r="416" spans="1:12" ht="12.75">
      <c r="A416" s="40"/>
      <c r="B416" s="40"/>
      <c r="C416" s="40"/>
      <c r="D416" s="40"/>
      <c r="E416" s="40"/>
      <c r="F416" s="188"/>
      <c r="G416" s="86"/>
      <c r="H416" s="136"/>
      <c r="I416" s="141"/>
      <c r="J416" s="86"/>
      <c r="K416" s="40"/>
      <c r="L416" s="87"/>
    </row>
    <row r="417" spans="1:12" ht="12.75">
      <c r="A417" s="40"/>
      <c r="B417" s="40"/>
      <c r="C417" s="40"/>
      <c r="D417" s="40"/>
      <c r="E417" s="40"/>
      <c r="F417" s="188"/>
      <c r="G417" s="86"/>
      <c r="H417" s="136"/>
      <c r="I417" s="141"/>
      <c r="J417" s="86"/>
      <c r="K417" s="40"/>
      <c r="L417" s="87"/>
    </row>
    <row r="418" spans="1:12" ht="12.75">
      <c r="A418" s="40"/>
      <c r="B418" s="40"/>
      <c r="C418" s="40"/>
      <c r="D418" s="40"/>
      <c r="E418" s="40"/>
      <c r="F418" s="188"/>
      <c r="G418" s="86"/>
      <c r="H418" s="136"/>
      <c r="I418" s="141"/>
      <c r="J418" s="86"/>
      <c r="K418" s="40"/>
      <c r="L418" s="87"/>
    </row>
    <row r="419" spans="1:12" ht="12.75">
      <c r="A419" s="40"/>
      <c r="B419" s="40"/>
      <c r="C419" s="40"/>
      <c r="D419" s="40"/>
      <c r="E419" s="40"/>
      <c r="F419" s="188"/>
      <c r="G419" s="86"/>
      <c r="H419" s="136"/>
      <c r="I419" s="141"/>
      <c r="J419" s="86"/>
      <c r="K419" s="40"/>
      <c r="L419" s="87"/>
    </row>
    <row r="420" spans="1:12" ht="12.75">
      <c r="A420" s="40"/>
      <c r="B420" s="40"/>
      <c r="C420" s="40"/>
      <c r="D420" s="40"/>
      <c r="E420" s="40"/>
      <c r="F420" s="188"/>
      <c r="G420" s="86"/>
      <c r="H420" s="136"/>
      <c r="I420" s="141"/>
      <c r="J420" s="86"/>
      <c r="K420" s="40"/>
      <c r="L420" s="87"/>
    </row>
    <row r="421" spans="1:12" ht="12.75">
      <c r="A421" s="40"/>
      <c r="B421" s="40"/>
      <c r="C421" s="40"/>
      <c r="D421" s="40"/>
      <c r="E421" s="40"/>
      <c r="F421" s="188"/>
      <c r="G421" s="86"/>
      <c r="H421" s="136"/>
      <c r="I421" s="141"/>
      <c r="J421" s="86"/>
      <c r="K421" s="40"/>
      <c r="L421" s="87"/>
    </row>
    <row r="422" spans="1:12" ht="12.75">
      <c r="A422" s="40"/>
      <c r="B422" s="40"/>
      <c r="C422" s="40"/>
      <c r="D422" s="40"/>
      <c r="E422" s="40"/>
      <c r="F422" s="188"/>
      <c r="G422" s="86"/>
      <c r="H422" s="136"/>
      <c r="I422" s="141"/>
      <c r="J422" s="86"/>
      <c r="K422" s="40"/>
      <c r="L422" s="87"/>
    </row>
    <row r="423" spans="1:12" ht="12.75">
      <c r="A423" s="40"/>
      <c r="B423" s="40"/>
      <c r="C423" s="40"/>
      <c r="D423" s="40"/>
      <c r="E423" s="40"/>
      <c r="F423" s="188"/>
      <c r="G423" s="86"/>
      <c r="H423" s="136"/>
      <c r="I423" s="141"/>
      <c r="J423" s="86"/>
      <c r="K423" s="40"/>
      <c r="L423" s="87"/>
    </row>
    <row r="424" spans="1:12" ht="12.75">
      <c r="A424" s="40"/>
      <c r="B424" s="40"/>
      <c r="C424" s="40"/>
      <c r="D424" s="40"/>
      <c r="E424" s="40"/>
      <c r="F424" s="188"/>
      <c r="G424" s="86"/>
      <c r="H424" s="136"/>
      <c r="I424" s="141"/>
      <c r="J424" s="86"/>
      <c r="K424" s="40"/>
      <c r="L424" s="87"/>
    </row>
    <row r="425" spans="1:12" ht="12.75">
      <c r="A425" s="40"/>
      <c r="B425" s="40"/>
      <c r="C425" s="40"/>
      <c r="D425" s="40"/>
      <c r="E425" s="40"/>
      <c r="F425" s="188"/>
      <c r="G425" s="86"/>
      <c r="H425" s="136"/>
      <c r="I425" s="141"/>
      <c r="J425" s="86"/>
      <c r="K425" s="40"/>
      <c r="L425" s="87"/>
    </row>
    <row r="426" spans="1:12" ht="12.75">
      <c r="A426" s="40"/>
      <c r="B426" s="40"/>
      <c r="C426" s="40"/>
      <c r="D426" s="40"/>
      <c r="E426" s="40"/>
      <c r="F426" s="188"/>
      <c r="G426" s="86"/>
      <c r="H426" s="136"/>
      <c r="I426" s="141"/>
      <c r="J426" s="86"/>
      <c r="K426" s="40"/>
      <c r="L426" s="87"/>
    </row>
    <row r="427" spans="1:12" ht="12.75">
      <c r="A427" s="40"/>
      <c r="B427" s="40"/>
      <c r="C427" s="40"/>
      <c r="D427" s="40"/>
      <c r="E427" s="40"/>
      <c r="F427" s="188"/>
      <c r="G427" s="86"/>
      <c r="H427" s="136"/>
      <c r="I427" s="141"/>
      <c r="J427" s="86"/>
      <c r="K427" s="40"/>
      <c r="L427" s="87"/>
    </row>
    <row r="428" spans="1:12" ht="12.75">
      <c r="A428" s="40"/>
      <c r="B428" s="40"/>
      <c r="C428" s="40"/>
      <c r="D428" s="40"/>
      <c r="E428" s="40"/>
      <c r="F428" s="188"/>
      <c r="G428" s="86"/>
      <c r="H428" s="136"/>
      <c r="I428" s="141"/>
      <c r="J428" s="86"/>
      <c r="K428" s="40"/>
      <c r="L428" s="87"/>
    </row>
    <row r="429" spans="1:12" ht="12.75">
      <c r="A429" s="40"/>
      <c r="B429" s="40"/>
      <c r="C429" s="40"/>
      <c r="D429" s="40"/>
      <c r="E429" s="40"/>
      <c r="F429" s="188"/>
      <c r="G429" s="86"/>
      <c r="H429" s="136"/>
      <c r="I429" s="141"/>
      <c r="J429" s="86"/>
      <c r="K429" s="40"/>
      <c r="L429" s="87"/>
    </row>
    <row r="430" spans="1:12" ht="12.75">
      <c r="A430" s="40"/>
      <c r="B430" s="40"/>
      <c r="C430" s="40"/>
      <c r="D430" s="40"/>
      <c r="E430" s="40"/>
      <c r="F430" s="188"/>
      <c r="G430" s="86"/>
      <c r="H430" s="136"/>
      <c r="I430" s="141"/>
      <c r="J430" s="86"/>
      <c r="K430" s="40"/>
      <c r="L430" s="87"/>
    </row>
    <row r="431" spans="1:12" ht="12.75">
      <c r="A431" s="40"/>
      <c r="B431" s="40"/>
      <c r="C431" s="40"/>
      <c r="D431" s="40"/>
      <c r="E431" s="40"/>
      <c r="F431" s="188"/>
      <c r="G431" s="86"/>
      <c r="H431" s="136"/>
      <c r="I431" s="141"/>
      <c r="J431" s="86"/>
      <c r="K431" s="40"/>
      <c r="L431" s="87"/>
    </row>
    <row r="432" spans="1:12" ht="12.75">
      <c r="A432" s="40"/>
      <c r="B432" s="40"/>
      <c r="C432" s="40"/>
      <c r="D432" s="40"/>
      <c r="E432" s="40"/>
      <c r="F432" s="188"/>
      <c r="G432" s="86"/>
      <c r="H432" s="136"/>
      <c r="I432" s="141"/>
      <c r="J432" s="86"/>
      <c r="K432" s="40"/>
      <c r="L432" s="87"/>
    </row>
    <row r="433" spans="1:12" ht="12.75">
      <c r="A433" s="40"/>
      <c r="B433" s="40"/>
      <c r="C433" s="40"/>
      <c r="D433" s="40"/>
      <c r="E433" s="40"/>
      <c r="F433" s="188"/>
      <c r="G433" s="86"/>
      <c r="H433" s="136"/>
      <c r="I433" s="141"/>
      <c r="J433" s="86"/>
      <c r="K433" s="40"/>
      <c r="L433" s="87"/>
    </row>
    <row r="434" spans="1:12" ht="12.75">
      <c r="A434" s="40"/>
      <c r="B434" s="40"/>
      <c r="C434" s="40"/>
      <c r="D434" s="40"/>
      <c r="E434" s="40"/>
      <c r="F434" s="188"/>
      <c r="G434" s="86"/>
      <c r="H434" s="136"/>
      <c r="I434" s="141"/>
      <c r="J434" s="86"/>
      <c r="K434" s="40"/>
      <c r="L434" s="87"/>
    </row>
    <row r="435" spans="1:12" ht="12.75">
      <c r="A435" s="40"/>
      <c r="B435" s="40"/>
      <c r="C435" s="40"/>
      <c r="D435" s="40"/>
      <c r="E435" s="40"/>
      <c r="F435" s="188"/>
      <c r="G435" s="86"/>
      <c r="H435" s="136"/>
      <c r="I435" s="141"/>
      <c r="J435" s="86"/>
      <c r="K435" s="40"/>
      <c r="L435" s="87"/>
    </row>
    <row r="436" spans="1:12" ht="12.75">
      <c r="A436" s="40"/>
      <c r="B436" s="40"/>
      <c r="C436" s="40"/>
      <c r="D436" s="40"/>
      <c r="E436" s="40"/>
      <c r="F436" s="188"/>
      <c r="G436" s="86"/>
      <c r="H436" s="136"/>
      <c r="I436" s="141"/>
      <c r="J436" s="86"/>
      <c r="K436" s="40"/>
      <c r="L436" s="87"/>
    </row>
    <row r="437" spans="1:12" ht="12.75">
      <c r="A437" s="40"/>
      <c r="B437" s="40"/>
      <c r="C437" s="40"/>
      <c r="D437" s="40"/>
      <c r="E437" s="40"/>
      <c r="F437" s="188"/>
      <c r="G437" s="86"/>
      <c r="H437" s="136"/>
      <c r="I437" s="141"/>
      <c r="J437" s="86"/>
      <c r="K437" s="40"/>
      <c r="L437" s="87"/>
    </row>
    <row r="438" spans="1:12" ht="12.75">
      <c r="A438" s="40"/>
      <c r="B438" s="40"/>
      <c r="C438" s="40"/>
      <c r="D438" s="40"/>
      <c r="E438" s="40"/>
      <c r="F438" s="188"/>
      <c r="G438" s="86"/>
      <c r="H438" s="136"/>
      <c r="I438" s="141"/>
      <c r="J438" s="86"/>
      <c r="K438" s="40"/>
      <c r="L438" s="87"/>
    </row>
    <row r="439" spans="1:12" ht="12.75">
      <c r="A439" s="40"/>
      <c r="B439" s="40"/>
      <c r="C439" s="40"/>
      <c r="D439" s="40"/>
      <c r="E439" s="40"/>
      <c r="F439" s="188"/>
      <c r="G439" s="86"/>
      <c r="H439" s="136"/>
      <c r="I439" s="141"/>
      <c r="J439" s="86"/>
      <c r="K439" s="40"/>
      <c r="L439" s="87"/>
    </row>
    <row r="440" spans="1:12" ht="12.75">
      <c r="A440" s="40"/>
      <c r="B440" s="40"/>
      <c r="C440" s="40"/>
      <c r="D440" s="40"/>
      <c r="E440" s="40"/>
      <c r="F440" s="188"/>
      <c r="G440" s="86"/>
      <c r="H440" s="136"/>
      <c r="I440" s="141"/>
      <c r="J440" s="86"/>
      <c r="K440" s="40"/>
      <c r="L440" s="87"/>
    </row>
    <row r="441" spans="1:12" ht="12.75">
      <c r="A441" s="40"/>
      <c r="B441" s="40"/>
      <c r="C441" s="40"/>
      <c r="D441" s="40"/>
      <c r="E441" s="40"/>
      <c r="F441" s="188"/>
      <c r="G441" s="86"/>
      <c r="H441" s="136"/>
      <c r="I441" s="141"/>
      <c r="J441" s="86"/>
      <c r="K441" s="40"/>
      <c r="L441" s="87"/>
    </row>
    <row r="442" spans="1:12" ht="12.75">
      <c r="A442" s="40"/>
      <c r="B442" s="40"/>
      <c r="C442" s="40"/>
      <c r="D442" s="40"/>
      <c r="E442" s="40"/>
      <c r="F442" s="188"/>
      <c r="G442" s="86"/>
      <c r="H442" s="136"/>
      <c r="I442" s="141"/>
      <c r="J442" s="86"/>
      <c r="K442" s="40"/>
      <c r="L442" s="87"/>
    </row>
    <row r="443" spans="1:12" ht="12.75">
      <c r="A443" s="40"/>
      <c r="B443" s="40"/>
      <c r="C443" s="40"/>
      <c r="D443" s="40"/>
      <c r="E443" s="40"/>
      <c r="F443" s="188"/>
      <c r="G443" s="86"/>
      <c r="H443" s="136"/>
      <c r="I443" s="141"/>
      <c r="J443" s="86"/>
      <c r="K443" s="40"/>
      <c r="L443" s="87"/>
    </row>
    <row r="444" spans="1:12" ht="12.75">
      <c r="A444" s="40"/>
      <c r="B444" s="40"/>
      <c r="C444" s="40"/>
      <c r="D444" s="40"/>
      <c r="E444" s="40"/>
      <c r="F444" s="188"/>
      <c r="G444" s="86"/>
      <c r="H444" s="136"/>
      <c r="I444" s="141"/>
      <c r="J444" s="86"/>
      <c r="K444" s="40"/>
      <c r="L444" s="87"/>
    </row>
    <row r="445" spans="1:12" ht="12.75">
      <c r="A445" s="40"/>
      <c r="B445" s="40"/>
      <c r="C445" s="40"/>
      <c r="D445" s="40"/>
      <c r="E445" s="40"/>
      <c r="F445" s="188"/>
      <c r="G445" s="86"/>
      <c r="H445" s="136"/>
      <c r="I445" s="141"/>
      <c r="J445" s="86"/>
      <c r="K445" s="40"/>
      <c r="L445" s="87"/>
    </row>
    <row r="446" spans="1:12" ht="12.75">
      <c r="A446" s="40"/>
      <c r="B446" s="40"/>
      <c r="C446" s="40"/>
      <c r="D446" s="40"/>
      <c r="E446" s="40"/>
      <c r="F446" s="188"/>
      <c r="G446" s="86"/>
      <c r="H446" s="136"/>
      <c r="I446" s="141"/>
      <c r="J446" s="86"/>
      <c r="K446" s="40"/>
      <c r="L446" s="87"/>
    </row>
    <row r="447" spans="1:12" ht="12.75">
      <c r="A447" s="40"/>
      <c r="B447" s="40"/>
      <c r="C447" s="40"/>
      <c r="D447" s="40"/>
      <c r="E447" s="40"/>
      <c r="F447" s="188"/>
      <c r="G447" s="86"/>
      <c r="H447" s="136"/>
      <c r="I447" s="141"/>
      <c r="J447" s="86"/>
      <c r="K447" s="40"/>
      <c r="L447" s="87"/>
    </row>
    <row r="448" spans="1:12" ht="12.75">
      <c r="A448" s="40"/>
      <c r="B448" s="40"/>
      <c r="C448" s="40"/>
      <c r="D448" s="40"/>
      <c r="E448" s="40"/>
      <c r="F448" s="188"/>
      <c r="G448" s="86"/>
      <c r="H448" s="136"/>
      <c r="I448" s="141"/>
      <c r="J448" s="86"/>
      <c r="K448" s="40"/>
      <c r="L448" s="87"/>
    </row>
    <row r="449" spans="1:12" ht="12.75">
      <c r="A449" s="40"/>
      <c r="B449" s="40"/>
      <c r="C449" s="40"/>
      <c r="D449" s="40"/>
      <c r="E449" s="40"/>
      <c r="F449" s="188"/>
      <c r="G449" s="86"/>
      <c r="H449" s="136"/>
      <c r="I449" s="141"/>
      <c r="J449" s="86"/>
      <c r="K449" s="40"/>
      <c r="L449" s="87"/>
    </row>
    <row r="450" spans="1:12" ht="12.75">
      <c r="A450" s="40"/>
      <c r="B450" s="40"/>
      <c r="C450" s="40"/>
      <c r="D450" s="40"/>
      <c r="E450" s="40"/>
      <c r="F450" s="188"/>
      <c r="G450" s="86"/>
      <c r="H450" s="136"/>
      <c r="I450" s="141"/>
      <c r="J450" s="86"/>
      <c r="K450" s="40"/>
      <c r="L450" s="87"/>
    </row>
    <row r="451" spans="1:12" ht="12.75">
      <c r="A451" s="40"/>
      <c r="B451" s="40"/>
      <c r="C451" s="40"/>
      <c r="D451" s="40"/>
      <c r="E451" s="40"/>
      <c r="F451" s="188"/>
      <c r="G451" s="86"/>
      <c r="H451" s="136"/>
      <c r="I451" s="141"/>
      <c r="J451" s="86"/>
      <c r="K451" s="40"/>
      <c r="L451" s="87"/>
    </row>
    <row r="452" spans="1:12" ht="12.75">
      <c r="A452" s="40"/>
      <c r="B452" s="40"/>
      <c r="C452" s="40"/>
      <c r="D452" s="40"/>
      <c r="E452" s="40"/>
      <c r="F452" s="188"/>
      <c r="G452" s="86"/>
      <c r="H452" s="136"/>
      <c r="I452" s="141"/>
      <c r="J452" s="86"/>
      <c r="K452" s="40"/>
      <c r="L452" s="87"/>
    </row>
    <row r="453" spans="1:12" ht="12.75">
      <c r="A453" s="40"/>
      <c r="B453" s="40"/>
      <c r="C453" s="40"/>
      <c r="D453" s="40"/>
      <c r="E453" s="40"/>
      <c r="F453" s="188"/>
      <c r="G453" s="86"/>
      <c r="H453" s="136"/>
      <c r="I453" s="141"/>
      <c r="J453" s="86"/>
      <c r="K453" s="40"/>
      <c r="L453" s="87"/>
    </row>
    <row r="454" spans="1:12" ht="12.75">
      <c r="A454" s="40"/>
      <c r="B454" s="40"/>
      <c r="C454" s="40"/>
      <c r="D454" s="40"/>
      <c r="E454" s="40"/>
      <c r="F454" s="188"/>
      <c r="G454" s="86"/>
      <c r="H454" s="136"/>
      <c r="I454" s="141"/>
      <c r="J454" s="86"/>
      <c r="K454" s="40"/>
      <c r="L454" s="87"/>
    </row>
    <row r="455" spans="1:12" ht="12.75">
      <c r="A455" s="40"/>
      <c r="B455" s="40"/>
      <c r="C455" s="40"/>
      <c r="D455" s="40"/>
      <c r="E455" s="40"/>
      <c r="F455" s="188"/>
      <c r="G455" s="86"/>
      <c r="H455" s="136"/>
      <c r="I455" s="141"/>
      <c r="J455" s="86"/>
      <c r="K455" s="40"/>
      <c r="L455" s="87"/>
    </row>
    <row r="456" spans="1:12" ht="12.75">
      <c r="A456" s="40"/>
      <c r="B456" s="40"/>
      <c r="C456" s="40"/>
      <c r="D456" s="40"/>
      <c r="E456" s="40"/>
      <c r="F456" s="188"/>
      <c r="G456" s="86"/>
      <c r="H456" s="136"/>
      <c r="I456" s="141"/>
      <c r="J456" s="86"/>
      <c r="K456" s="40"/>
      <c r="L456" s="87"/>
    </row>
    <row r="457" spans="1:12" ht="12.75">
      <c r="A457" s="40"/>
      <c r="B457" s="40"/>
      <c r="C457" s="40"/>
      <c r="D457" s="40"/>
      <c r="E457" s="40"/>
      <c r="F457" s="188"/>
      <c r="G457" s="86"/>
      <c r="H457" s="136"/>
      <c r="I457" s="141"/>
      <c r="J457" s="86"/>
      <c r="K457" s="40"/>
      <c r="L457" s="87"/>
    </row>
    <row r="458" spans="1:12" ht="12.75">
      <c r="A458" s="40"/>
      <c r="B458" s="40"/>
      <c r="C458" s="40"/>
      <c r="D458" s="40"/>
      <c r="E458" s="40"/>
      <c r="F458" s="188"/>
      <c r="G458" s="86"/>
      <c r="H458" s="136"/>
      <c r="I458" s="141"/>
      <c r="J458" s="86"/>
      <c r="K458" s="40"/>
      <c r="L458" s="87"/>
    </row>
    <row r="459" spans="1:12" ht="12.75">
      <c r="A459" s="40"/>
      <c r="B459" s="40"/>
      <c r="C459" s="40"/>
      <c r="D459" s="40"/>
      <c r="E459" s="40"/>
      <c r="F459" s="188"/>
      <c r="G459" s="86"/>
      <c r="H459" s="136"/>
      <c r="I459" s="141"/>
      <c r="J459" s="86"/>
      <c r="K459" s="40"/>
      <c r="L459" s="87"/>
    </row>
    <row r="460" spans="1:12" ht="12.75">
      <c r="A460" s="40"/>
      <c r="B460" s="40"/>
      <c r="C460" s="40"/>
      <c r="D460" s="40"/>
      <c r="E460" s="40"/>
      <c r="F460" s="188"/>
      <c r="G460" s="86"/>
      <c r="H460" s="136"/>
      <c r="I460" s="141"/>
      <c r="J460" s="86"/>
      <c r="K460" s="40"/>
      <c r="L460" s="87"/>
    </row>
    <row r="461" spans="1:12" ht="12.75">
      <c r="A461" s="40"/>
      <c r="B461" s="40"/>
      <c r="C461" s="40"/>
      <c r="D461" s="40"/>
      <c r="E461" s="40"/>
      <c r="F461" s="188"/>
      <c r="G461" s="86"/>
      <c r="H461" s="136"/>
      <c r="I461" s="141"/>
      <c r="J461" s="86"/>
      <c r="K461" s="40"/>
      <c r="L461" s="87"/>
    </row>
    <row r="462" spans="1:12" ht="12.75">
      <c r="A462" s="40"/>
      <c r="B462" s="40"/>
      <c r="C462" s="40"/>
      <c r="D462" s="40"/>
      <c r="E462" s="40"/>
      <c r="F462" s="188"/>
      <c r="G462" s="86"/>
      <c r="H462" s="136"/>
      <c r="I462" s="141"/>
      <c r="J462" s="86"/>
      <c r="K462" s="40"/>
      <c r="L462" s="87"/>
    </row>
    <row r="463" spans="1:12" ht="12.75">
      <c r="A463" s="40"/>
      <c r="B463" s="40"/>
      <c r="C463" s="40"/>
      <c r="D463" s="40"/>
      <c r="E463" s="40"/>
      <c r="F463" s="188"/>
      <c r="G463" s="86"/>
      <c r="H463" s="136"/>
      <c r="I463" s="141"/>
      <c r="J463" s="86"/>
      <c r="K463" s="40"/>
      <c r="L463" s="87"/>
    </row>
    <row r="464" spans="1:12" ht="12.75">
      <c r="A464" s="40"/>
      <c r="B464" s="40"/>
      <c r="C464" s="40"/>
      <c r="D464" s="40"/>
      <c r="E464" s="40"/>
      <c r="F464" s="188"/>
      <c r="G464" s="86"/>
      <c r="H464" s="136"/>
      <c r="I464" s="141"/>
      <c r="J464" s="86"/>
      <c r="K464" s="40"/>
      <c r="L464" s="87"/>
    </row>
    <row r="465" spans="1:12" ht="12.75">
      <c r="A465" s="40"/>
      <c r="B465" s="40"/>
      <c r="C465" s="40"/>
      <c r="D465" s="40"/>
      <c r="E465" s="40"/>
      <c r="F465" s="188"/>
      <c r="G465" s="86"/>
      <c r="H465" s="136"/>
      <c r="I465" s="141"/>
      <c r="J465" s="86"/>
      <c r="K465" s="40"/>
      <c r="L465" s="87"/>
    </row>
    <row r="466" spans="1:12" ht="12.75">
      <c r="A466" s="40"/>
      <c r="B466" s="40"/>
      <c r="C466" s="40"/>
      <c r="D466" s="40"/>
      <c r="E466" s="40"/>
      <c r="F466" s="188"/>
      <c r="G466" s="86"/>
      <c r="H466" s="136"/>
      <c r="I466" s="141"/>
      <c r="J466" s="86"/>
      <c r="K466" s="40"/>
      <c r="L466" s="87"/>
    </row>
    <row r="467" spans="1:12" ht="12.75">
      <c r="A467" s="40"/>
      <c r="B467" s="40"/>
      <c r="C467" s="40"/>
      <c r="D467" s="40"/>
      <c r="E467" s="40"/>
      <c r="F467" s="188"/>
      <c r="G467" s="86"/>
      <c r="H467" s="136"/>
      <c r="I467" s="141"/>
      <c r="J467" s="86"/>
      <c r="K467" s="40"/>
      <c r="L467" s="87"/>
    </row>
    <row r="468" spans="1:12" ht="12.75">
      <c r="A468" s="40"/>
      <c r="B468" s="40"/>
      <c r="C468" s="40"/>
      <c r="D468" s="40"/>
      <c r="E468" s="40"/>
      <c r="F468" s="188"/>
      <c r="G468" s="86"/>
      <c r="H468" s="136"/>
      <c r="I468" s="141"/>
      <c r="J468" s="86"/>
      <c r="K468" s="40"/>
      <c r="L468" s="87"/>
    </row>
    <row r="469" spans="1:12" ht="12.75">
      <c r="A469" s="40"/>
      <c r="B469" s="40"/>
      <c r="C469" s="40"/>
      <c r="D469" s="40"/>
      <c r="E469" s="40"/>
      <c r="F469" s="188"/>
      <c r="G469" s="86"/>
      <c r="H469" s="136"/>
      <c r="I469" s="141"/>
      <c r="J469" s="86"/>
      <c r="K469" s="40"/>
      <c r="L469" s="87"/>
    </row>
    <row r="470" spans="1:12" ht="12.75">
      <c r="A470" s="40"/>
      <c r="B470" s="40"/>
      <c r="C470" s="40"/>
      <c r="D470" s="40"/>
      <c r="E470" s="40"/>
      <c r="F470" s="188"/>
      <c r="G470" s="86"/>
      <c r="H470" s="136"/>
      <c r="I470" s="141"/>
      <c r="J470" s="86"/>
      <c r="K470" s="40"/>
      <c r="L470" s="87"/>
    </row>
    <row r="471" spans="1:12" ht="12.75">
      <c r="A471" s="40"/>
      <c r="B471" s="40"/>
      <c r="C471" s="40"/>
      <c r="D471" s="40"/>
      <c r="E471" s="40"/>
      <c r="F471" s="188"/>
      <c r="G471" s="86"/>
      <c r="H471" s="136"/>
      <c r="I471" s="141"/>
      <c r="J471" s="86"/>
      <c r="K471" s="40"/>
      <c r="L471" s="87"/>
    </row>
    <row r="472" spans="1:12" ht="12.75">
      <c r="A472" s="40"/>
      <c r="B472" s="40"/>
      <c r="C472" s="40"/>
      <c r="D472" s="40"/>
      <c r="E472" s="40"/>
      <c r="F472" s="188"/>
      <c r="G472" s="86"/>
      <c r="H472" s="136"/>
      <c r="I472" s="141"/>
      <c r="J472" s="86"/>
      <c r="K472" s="40"/>
      <c r="L472" s="87"/>
    </row>
    <row r="473" spans="1:12" ht="12.75">
      <c r="A473" s="40"/>
      <c r="B473" s="40"/>
      <c r="C473" s="40"/>
      <c r="D473" s="40"/>
      <c r="E473" s="40"/>
      <c r="F473" s="188"/>
      <c r="G473" s="86"/>
      <c r="H473" s="136"/>
      <c r="I473" s="141"/>
      <c r="J473" s="86"/>
      <c r="K473" s="40"/>
      <c r="L473" s="87"/>
    </row>
    <row r="474" spans="1:12" ht="12.75">
      <c r="A474" s="40"/>
      <c r="B474" s="40"/>
      <c r="C474" s="40"/>
      <c r="D474" s="40"/>
      <c r="E474" s="40"/>
      <c r="F474" s="188"/>
      <c r="G474" s="86"/>
      <c r="H474" s="136"/>
      <c r="I474" s="141"/>
      <c r="J474" s="86"/>
      <c r="K474" s="40"/>
      <c r="L474" s="87"/>
    </row>
    <row r="475" spans="1:12" ht="12.75">
      <c r="A475" s="40"/>
      <c r="B475" s="40"/>
      <c r="C475" s="40"/>
      <c r="D475" s="40"/>
      <c r="E475" s="40"/>
      <c r="F475" s="188"/>
      <c r="G475" s="86"/>
      <c r="H475" s="136"/>
      <c r="I475" s="141"/>
      <c r="J475" s="86"/>
      <c r="K475" s="40"/>
      <c r="L475" s="87"/>
    </row>
    <row r="476" spans="1:12" ht="12.75">
      <c r="A476" s="40"/>
      <c r="B476" s="40"/>
      <c r="C476" s="40"/>
      <c r="D476" s="40"/>
      <c r="E476" s="40"/>
      <c r="F476" s="188"/>
      <c r="G476" s="86"/>
      <c r="H476" s="136"/>
      <c r="I476" s="141"/>
      <c r="J476" s="86"/>
      <c r="K476" s="40"/>
      <c r="L476" s="87"/>
    </row>
    <row r="477" spans="1:12" ht="12.75">
      <c r="A477" s="40"/>
      <c r="B477" s="40"/>
      <c r="C477" s="40"/>
      <c r="D477" s="40"/>
      <c r="E477" s="40"/>
      <c r="F477" s="188"/>
      <c r="G477" s="86"/>
      <c r="H477" s="136"/>
      <c r="I477" s="141"/>
      <c r="J477" s="86"/>
      <c r="K477" s="40"/>
      <c r="L477" s="87"/>
    </row>
    <row r="478" spans="1:12" ht="12.75">
      <c r="A478" s="40"/>
      <c r="B478" s="40"/>
      <c r="C478" s="40"/>
      <c r="D478" s="40"/>
      <c r="E478" s="40"/>
      <c r="F478" s="188"/>
      <c r="G478" s="86"/>
      <c r="H478" s="136"/>
      <c r="I478" s="141"/>
      <c r="J478" s="86"/>
      <c r="K478" s="40"/>
      <c r="L478" s="87"/>
    </row>
  </sheetData>
  <printOptions/>
  <pageMargins left="0.5" right="0.5" top="0.5" bottom="1" header="0.5" footer="0.5"/>
  <pageSetup orientation="landscape" paperSize="9" scale="90"/>
  <headerFooter alignWithMargins="0">
    <oddFooter>&amp;L&amp;"Verdana,Bold"&amp;9 Product Totals&amp;C&amp;9As of 11/14/07
Based on Ops3 processing runs for Feb 2002&amp;R&amp;9Page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3">
      <selection activeCell="B49" sqref="B49"/>
    </sheetView>
  </sheetViews>
  <sheetFormatPr defaultColWidth="11.00390625" defaultRowHeight="12.75"/>
  <sheetData>
    <row r="1" ht="12.75">
      <c r="A1" s="112" t="s">
        <v>106</v>
      </c>
    </row>
    <row r="2" spans="1:3" ht="12.75">
      <c r="A2" t="s">
        <v>291</v>
      </c>
      <c r="B2">
        <v>350</v>
      </c>
      <c r="C2" t="s">
        <v>107</v>
      </c>
    </row>
    <row r="3" spans="1:3" ht="12.75">
      <c r="A3" t="s">
        <v>240</v>
      </c>
      <c r="B3">
        <v>430</v>
      </c>
      <c r="C3" t="s">
        <v>107</v>
      </c>
    </row>
    <row r="4" spans="1:3" ht="12.75">
      <c r="A4" t="s">
        <v>241</v>
      </c>
      <c r="B4">
        <v>6.5</v>
      </c>
      <c r="C4" t="s">
        <v>107</v>
      </c>
    </row>
    <row r="5" spans="1:3" ht="12.75">
      <c r="A5" t="s">
        <v>242</v>
      </c>
      <c r="B5">
        <v>3.6</v>
      </c>
      <c r="C5" t="s">
        <v>107</v>
      </c>
    </row>
    <row r="6" spans="1:3" ht="12.75">
      <c r="A6" t="s">
        <v>99</v>
      </c>
      <c r="B6">
        <v>41</v>
      </c>
      <c r="C6" t="s">
        <v>107</v>
      </c>
    </row>
    <row r="7" spans="1:3" ht="12.75">
      <c r="A7" t="s">
        <v>115</v>
      </c>
      <c r="B7">
        <v>105</v>
      </c>
      <c r="C7" t="s">
        <v>107</v>
      </c>
    </row>
    <row r="8" spans="1:3" ht="12.75">
      <c r="A8" t="s">
        <v>48</v>
      </c>
      <c r="B8">
        <v>408</v>
      </c>
      <c r="C8" t="s">
        <v>107</v>
      </c>
    </row>
    <row r="9" spans="1:3" ht="12.75">
      <c r="A9" t="s">
        <v>179</v>
      </c>
      <c r="B9">
        <v>44</v>
      </c>
      <c r="C9" t="s">
        <v>107</v>
      </c>
    </row>
    <row r="10" spans="2:3" ht="12.75">
      <c r="B10">
        <f>SUM(B2:B9)</f>
        <v>1388.1</v>
      </c>
      <c r="C10" t="s">
        <v>108</v>
      </c>
    </row>
    <row r="11" spans="2:3" ht="12.75">
      <c r="B11">
        <f>B10*16</f>
        <v>22209.6</v>
      </c>
      <c r="C11" t="s">
        <v>343</v>
      </c>
    </row>
    <row r="12" spans="2:3" ht="12.75">
      <c r="B12">
        <f>B11/1024</f>
        <v>21.6890625</v>
      </c>
      <c r="C12" t="s">
        <v>344</v>
      </c>
    </row>
    <row r="16" ht="12.75">
      <c r="A16" s="112" t="s">
        <v>345</v>
      </c>
    </row>
    <row r="17" spans="1:6" ht="12.75">
      <c r="A17" t="s">
        <v>61</v>
      </c>
      <c r="B17" t="s">
        <v>346</v>
      </c>
      <c r="E17" t="s">
        <v>353</v>
      </c>
      <c r="F17">
        <f>(SUM(40.2+0.78)*317)+6.5</f>
        <v>12997.160000000002</v>
      </c>
    </row>
    <row r="18" spans="1:6" ht="12.75">
      <c r="A18" t="s">
        <v>63</v>
      </c>
      <c r="E18" t="s">
        <v>354</v>
      </c>
      <c r="F18">
        <f>F17/1024</f>
        <v>12.692539062500002</v>
      </c>
    </row>
    <row r="19" ht="12.75">
      <c r="B19" t="s">
        <v>347</v>
      </c>
    </row>
    <row r="20" ht="12.75">
      <c r="B20" t="s">
        <v>348</v>
      </c>
    </row>
    <row r="21" spans="5:6" ht="12.75">
      <c r="E21">
        <f>0.812*8</f>
        <v>6.496</v>
      </c>
      <c r="F21" t="s">
        <v>356</v>
      </c>
    </row>
    <row r="23" ht="12.75">
      <c r="A23" s="112" t="s">
        <v>349</v>
      </c>
    </row>
    <row r="24" spans="1:3" ht="12.75">
      <c r="A24" t="s">
        <v>51</v>
      </c>
      <c r="B24">
        <v>53</v>
      </c>
      <c r="C24" t="s">
        <v>107</v>
      </c>
    </row>
    <row r="25" spans="1:3" ht="12.75">
      <c r="A25" t="s">
        <v>292</v>
      </c>
      <c r="B25">
        <v>56.5</v>
      </c>
      <c r="C25" t="s">
        <v>107</v>
      </c>
    </row>
    <row r="26" spans="1:3" ht="12.75">
      <c r="A26" t="s">
        <v>242</v>
      </c>
      <c r="B26">
        <v>2</v>
      </c>
      <c r="C26" t="s">
        <v>107</v>
      </c>
    </row>
    <row r="27" spans="1:3" ht="12.75">
      <c r="A27" t="s">
        <v>178</v>
      </c>
      <c r="B27">
        <v>2</v>
      </c>
      <c r="C27" t="s">
        <v>107</v>
      </c>
    </row>
    <row r="28" spans="1:3" ht="12.75">
      <c r="A28" t="s">
        <v>19</v>
      </c>
      <c r="B28">
        <v>1.8</v>
      </c>
      <c r="C28" t="s">
        <v>107</v>
      </c>
    </row>
    <row r="29" spans="1:3" ht="12.75">
      <c r="A29" t="s">
        <v>186</v>
      </c>
      <c r="B29">
        <f>2365.5/286</f>
        <v>8.270979020979022</v>
      </c>
      <c r="C29" t="s">
        <v>107</v>
      </c>
    </row>
    <row r="30" spans="1:3" ht="12.75">
      <c r="A30" t="s">
        <v>190</v>
      </c>
      <c r="B30">
        <v>0.23</v>
      </c>
      <c r="C30" t="s">
        <v>107</v>
      </c>
    </row>
    <row r="31" spans="2:3" ht="12.75">
      <c r="B31">
        <f>SUM(B24:B30)</f>
        <v>123.80097902097903</v>
      </c>
      <c r="C31" t="s">
        <v>350</v>
      </c>
    </row>
    <row r="32" spans="2:3" ht="12.75">
      <c r="B32">
        <f>B31*8</f>
        <v>990.4078321678322</v>
      </c>
      <c r="C32" t="s">
        <v>351</v>
      </c>
    </row>
    <row r="33" spans="2:3" ht="12.75">
      <c r="B33">
        <f>B32/1024</f>
        <v>0.9671951486013987</v>
      </c>
      <c r="C33" t="s">
        <v>352</v>
      </c>
    </row>
    <row r="35" ht="12.75">
      <c r="A35" s="112" t="s">
        <v>355</v>
      </c>
    </row>
    <row r="36" spans="1:3" ht="12.75">
      <c r="A36" t="s">
        <v>291</v>
      </c>
      <c r="B36">
        <v>350</v>
      </c>
      <c r="C36" t="s">
        <v>107</v>
      </c>
    </row>
    <row r="37" spans="1:3" ht="12.75">
      <c r="A37" t="s">
        <v>240</v>
      </c>
      <c r="B37">
        <v>430</v>
      </c>
      <c r="C37" t="s">
        <v>107</v>
      </c>
    </row>
    <row r="38" spans="1:3" ht="12.75">
      <c r="A38" t="s">
        <v>183</v>
      </c>
      <c r="B38">
        <v>43</v>
      </c>
      <c r="C38" t="s">
        <v>107</v>
      </c>
    </row>
    <row r="39" spans="1:3" ht="12.75">
      <c r="A39" t="s">
        <v>241</v>
      </c>
      <c r="B39">
        <v>6.5</v>
      </c>
      <c r="C39" t="s">
        <v>107</v>
      </c>
    </row>
    <row r="40" spans="1:3" ht="12.75">
      <c r="A40" t="s">
        <v>99</v>
      </c>
      <c r="B40">
        <v>41</v>
      </c>
      <c r="C40" t="s">
        <v>107</v>
      </c>
    </row>
    <row r="41" spans="1:3" ht="12.75">
      <c r="A41" t="s">
        <v>115</v>
      </c>
      <c r="B41">
        <v>105</v>
      </c>
      <c r="C41" t="s">
        <v>107</v>
      </c>
    </row>
    <row r="42" spans="1:3" ht="12.75">
      <c r="A42" t="s">
        <v>48</v>
      </c>
      <c r="B42">
        <v>408</v>
      </c>
      <c r="C42" t="s">
        <v>107</v>
      </c>
    </row>
    <row r="43" spans="2:3" ht="12.75">
      <c r="B43">
        <f>SUM(B36:B42)</f>
        <v>1383.5</v>
      </c>
      <c r="C43" t="s">
        <v>108</v>
      </c>
    </row>
    <row r="44" spans="2:3" ht="12.75">
      <c r="B44">
        <f>B43*16</f>
        <v>22136</v>
      </c>
      <c r="C44" t="s">
        <v>343</v>
      </c>
    </row>
    <row r="45" spans="2:3" ht="12.75">
      <c r="B45">
        <f>B44/1024</f>
        <v>21.6171875</v>
      </c>
      <c r="C45" t="s">
        <v>344</v>
      </c>
    </row>
    <row r="48" spans="1:6" ht="12.75">
      <c r="A48" s="112" t="s">
        <v>52</v>
      </c>
      <c r="F48" t="s">
        <v>362</v>
      </c>
    </row>
    <row r="49" spans="1:7" ht="12.75">
      <c r="A49" t="s">
        <v>99</v>
      </c>
      <c r="B49">
        <v>41</v>
      </c>
      <c r="C49" t="s">
        <v>107</v>
      </c>
      <c r="F49">
        <f>(5039.4*8)/1024</f>
        <v>39.3703125</v>
      </c>
      <c r="G49" t="s">
        <v>363</v>
      </c>
    </row>
    <row r="50" spans="1:3" ht="12.75">
      <c r="A50" t="s">
        <v>291</v>
      </c>
      <c r="B50">
        <v>350</v>
      </c>
      <c r="C50" t="s">
        <v>107</v>
      </c>
    </row>
    <row r="51" spans="1:3" ht="12.75">
      <c r="A51" t="s">
        <v>241</v>
      </c>
      <c r="B51">
        <v>6.5</v>
      </c>
      <c r="C51" t="s">
        <v>107</v>
      </c>
    </row>
    <row r="52" spans="1:3" ht="12.75">
      <c r="A52" t="s">
        <v>115</v>
      </c>
      <c r="B52">
        <v>105</v>
      </c>
      <c r="C52" t="s">
        <v>107</v>
      </c>
    </row>
    <row r="53" spans="1:3" ht="12.75">
      <c r="A53" t="s">
        <v>358</v>
      </c>
      <c r="B53">
        <v>350</v>
      </c>
      <c r="C53" t="s">
        <v>107</v>
      </c>
    </row>
    <row r="54" spans="1:3" ht="12.75">
      <c r="A54" t="s">
        <v>359</v>
      </c>
      <c r="B54">
        <v>6.5</v>
      </c>
      <c r="C54" t="s">
        <v>107</v>
      </c>
    </row>
    <row r="55" spans="1:3" ht="12.75">
      <c r="A55" t="s">
        <v>360</v>
      </c>
      <c r="B55">
        <v>105</v>
      </c>
      <c r="C55" t="s">
        <v>107</v>
      </c>
    </row>
    <row r="56" spans="1:3" ht="12.75">
      <c r="A56" t="s">
        <v>357</v>
      </c>
      <c r="B56">
        <v>41</v>
      </c>
      <c r="C56" t="s">
        <v>107</v>
      </c>
    </row>
    <row r="57" spans="2:3" ht="12.75">
      <c r="B57">
        <f>SUM(B49:B56)</f>
        <v>1005</v>
      </c>
      <c r="C57" t="s">
        <v>108</v>
      </c>
    </row>
    <row r="58" spans="2:3" ht="12.75">
      <c r="B58">
        <f>B57*16</f>
        <v>16080</v>
      </c>
      <c r="C58" t="s">
        <v>343</v>
      </c>
    </row>
    <row r="59" spans="2:3" ht="12.75">
      <c r="B59">
        <f>B58/1024</f>
        <v>15.703125</v>
      </c>
      <c r="C59" t="s">
        <v>361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NASA_SAIC_MODIS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Carol Davidson</cp:lastModifiedBy>
  <cp:lastPrinted>2007-10-02T18:37:17Z</cp:lastPrinted>
  <dcterms:created xsi:type="dcterms:W3CDTF">2005-08-23T13:34:48Z</dcterms:created>
  <cp:category/>
  <cp:version/>
  <cp:contentType/>
  <cp:contentStatus/>
</cp:coreProperties>
</file>