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9600" yWindow="1060" windowWidth="21160" windowHeight="17320" tabRatio="23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'Sheet1'!$A$1:$J$371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<sst xmlns="http://schemas.openxmlformats.org/spreadsheetml/2006/main" count="1264" uniqueCount="333">
  <si>
    <t>16-day</t>
  </si>
  <si>
    <t>PGE25Q</t>
  </si>
  <si>
    <t>MOD13Q1</t>
  </si>
  <si>
    <t>PGE35</t>
  </si>
  <si>
    <t>MOB13A2E</t>
  </si>
  <si>
    <t>MOB13A2N</t>
  </si>
  <si>
    <t>MOD13A2</t>
  </si>
  <si>
    <t>MOD13A2C</t>
  </si>
  <si>
    <t>PGE72</t>
  </si>
  <si>
    <t>MOD44CH</t>
  </si>
  <si>
    <t>MCD43D16</t>
  </si>
  <si>
    <t>MCD43D17</t>
  </si>
  <si>
    <t>MCD43D18</t>
  </si>
  <si>
    <t>MCD43D19</t>
  </si>
  <si>
    <t>MCD43D20</t>
  </si>
  <si>
    <t>MCD43D21</t>
  </si>
  <si>
    <t>MCD43D22</t>
  </si>
  <si>
    <t>MCD43D23</t>
  </si>
  <si>
    <t>MCD43D24</t>
  </si>
  <si>
    <t>MODPTPGD</t>
  </si>
  <si>
    <t>MODPTPGN</t>
  </si>
  <si>
    <t>MODPTQKM</t>
  </si>
  <si>
    <t>PGE13</t>
  </si>
  <si>
    <t>MOB09GA</t>
  </si>
  <si>
    <t>MOD09GA</t>
  </si>
  <si>
    <t>PGE23</t>
  </si>
  <si>
    <t>MCB43A1</t>
  </si>
  <si>
    <t>16-day every 8days</t>
  </si>
  <si>
    <t>AMPM_L12</t>
  </si>
  <si>
    <t>MCB43A3</t>
  </si>
  <si>
    <t>MCB43A4</t>
  </si>
  <si>
    <t>MCB43B1</t>
  </si>
  <si>
    <t>MCB43B3</t>
  </si>
  <si>
    <t>MCB43B4</t>
  </si>
  <si>
    <t>MCD43A1</t>
  </si>
  <si>
    <t>MCD43A1C</t>
  </si>
  <si>
    <t>MCD43A2</t>
  </si>
  <si>
    <t>MCD43A2C</t>
  </si>
  <si>
    <t>MCD43A3</t>
  </si>
  <si>
    <t>MCD43A3C</t>
  </si>
  <si>
    <t>MCD43A4</t>
  </si>
  <si>
    <t>MCD43A4C</t>
  </si>
  <si>
    <t>MCD43B1</t>
  </si>
  <si>
    <t>MCD43B1C</t>
  </si>
  <si>
    <t>MCD43B2</t>
  </si>
  <si>
    <t>PGE46</t>
  </si>
  <si>
    <t>MOB10C1</t>
  </si>
  <si>
    <t>L9</t>
  </si>
  <si>
    <t>MOD10C1</t>
  </si>
  <si>
    <t>PGE67</t>
  </si>
  <si>
    <t>ESDT names in RED indicate internal compression</t>
  </si>
  <si>
    <t>MOB10C2</t>
  </si>
  <si>
    <t>L11</t>
  </si>
  <si>
    <t>MOD10C2</t>
  </si>
  <si>
    <t>PGE84</t>
  </si>
  <si>
    <t>MOB29ERN</t>
  </si>
  <si>
    <t>L21</t>
  </si>
  <si>
    <t>MOB29ERS</t>
  </si>
  <si>
    <t>MOB29ETN</t>
  </si>
  <si>
    <t>MOB29ETS</t>
  </si>
  <si>
    <t>MOD29E1D</t>
  </si>
  <si>
    <t>PGE86</t>
  </si>
  <si>
    <t>MCD45A1</t>
  </si>
  <si>
    <t>Combined only</t>
  </si>
  <si>
    <t>L26</t>
  </si>
  <si>
    <t>MCD45A2</t>
  </si>
  <si>
    <t>PGE27</t>
  </si>
  <si>
    <t>MOB13C1E</t>
  </si>
  <si>
    <t>L23</t>
  </si>
  <si>
    <t>MOB13C1N</t>
  </si>
  <si>
    <t>MOD13C1</t>
  </si>
  <si>
    <t>PGE28</t>
  </si>
  <si>
    <t>L1 Total</t>
  </si>
  <si>
    <t>L3 Total</t>
  </si>
  <si>
    <t>L5 Total</t>
  </si>
  <si>
    <t>L5P Total</t>
  </si>
  <si>
    <t>L4 Total</t>
  </si>
  <si>
    <t>L10 Total</t>
  </si>
  <si>
    <t>AMPM_L12 Total</t>
  </si>
  <si>
    <t>L12 Total</t>
  </si>
  <si>
    <t>L12a Total</t>
  </si>
  <si>
    <t>L14c Total</t>
  </si>
  <si>
    <t>L23 Total</t>
  </si>
  <si>
    <t>L24 Total</t>
  </si>
  <si>
    <t>L25 Total</t>
  </si>
  <si>
    <t>L7 Total</t>
  </si>
  <si>
    <t>L16(abc) Total</t>
  </si>
  <si>
    <t>L9 Total</t>
  </si>
  <si>
    <t>L15 Total</t>
  </si>
  <si>
    <t>L17 Total</t>
  </si>
  <si>
    <t>L11 Total</t>
  </si>
  <si>
    <t>L21 Total</t>
  </si>
  <si>
    <t>L26 Total</t>
  </si>
  <si>
    <t>Grand Totals</t>
  </si>
  <si>
    <t>MOB13C2E</t>
  </si>
  <si>
    <t>L24</t>
  </si>
  <si>
    <t>MOB13C2N</t>
  </si>
  <si>
    <t>MOD13C2</t>
  </si>
  <si>
    <t>PGE88</t>
  </si>
  <si>
    <t>MOD10CM</t>
  </si>
  <si>
    <t>PGE75</t>
  </si>
  <si>
    <t>MOB09CMG</t>
  </si>
  <si>
    <t>L7</t>
  </si>
  <si>
    <t>MOD09CMA</t>
  </si>
  <si>
    <t>MOD09CMG</t>
  </si>
  <si>
    <t>PGE36</t>
  </si>
  <si>
    <t>MOD17A1</t>
  </si>
  <si>
    <t>L16a</t>
  </si>
  <si>
    <t>PGE37</t>
  </si>
  <si>
    <t>MOD17A2</t>
  </si>
  <si>
    <t>L16b</t>
  </si>
  <si>
    <t>MOD17A2C</t>
  </si>
  <si>
    <t>PGE38</t>
  </si>
  <si>
    <t>MOD17A3</t>
  </si>
  <si>
    <t>yearly</t>
  </si>
  <si>
    <t>MOD17A3C</t>
  </si>
  <si>
    <t>L16c</t>
  </si>
  <si>
    <t>MCD43B2C</t>
  </si>
  <si>
    <t>MCD43B3</t>
  </si>
  <si>
    <t>MCD43B3C</t>
  </si>
  <si>
    <t>MCD43B4</t>
  </si>
  <si>
    <t>MCD43B4C</t>
  </si>
  <si>
    <t xml:space="preserve"> </t>
  </si>
  <si>
    <t>Combined</t>
  </si>
  <si>
    <t>PGE21</t>
  </si>
  <si>
    <t>MOB09A1</t>
  </si>
  <si>
    <t>8-day</t>
  </si>
  <si>
    <t>L10</t>
  </si>
  <si>
    <t>MOD09A1</t>
  </si>
  <si>
    <t>MOD09A1C</t>
  </si>
  <si>
    <t>PGE21Q</t>
  </si>
  <si>
    <t>MOD09Q1</t>
  </si>
  <si>
    <t>PGE29</t>
  </si>
  <si>
    <t>MOB14A2</t>
  </si>
  <si>
    <t>MOB14AD1</t>
  </si>
  <si>
    <t>MOB14AD2</t>
  </si>
  <si>
    <t>MOB14AD3</t>
  </si>
  <si>
    <t>MOB14AD4</t>
  </si>
  <si>
    <t>MOB14AD5</t>
  </si>
  <si>
    <t>MOB14AD6</t>
  </si>
  <si>
    <t>MOB14AD7</t>
  </si>
  <si>
    <t>Export to LPDAAC</t>
  </si>
  <si>
    <t>Export to NSIDC</t>
  </si>
  <si>
    <t>C5 LAADS</t>
  </si>
  <si>
    <t>File Size (MB/Dataday)</t>
  </si>
  <si>
    <t>MOB14AD8</t>
  </si>
  <si>
    <t>MOD14A1</t>
  </si>
  <si>
    <t>MOD14A1C</t>
  </si>
  <si>
    <t>MOD14A2</t>
  </si>
  <si>
    <t>MOD14A2C</t>
  </si>
  <si>
    <t>Total</t>
  </si>
  <si>
    <t>PGE34</t>
  </si>
  <si>
    <t>MOB15A2F</t>
  </si>
  <si>
    <t>Terra/Aqua/Combined</t>
  </si>
  <si>
    <t>MOB15A2L</t>
  </si>
  <si>
    <t>MOD15A2</t>
  </si>
  <si>
    <t>MOD15A2C</t>
  </si>
  <si>
    <t>Terra/Aqua/Combined?</t>
  </si>
  <si>
    <t>PGE45</t>
  </si>
  <si>
    <t>MOB10A2</t>
  </si>
  <si>
    <t>MOD10A2</t>
  </si>
  <si>
    <t>MOD10A2C</t>
  </si>
  <si>
    <t>PGE25</t>
  </si>
  <si>
    <t>MOB13A1E</t>
  </si>
  <si>
    <t xml:space="preserve">16-day  </t>
  </si>
  <si>
    <t>L12</t>
  </si>
  <si>
    <t>MOB13A1N</t>
  </si>
  <si>
    <t xml:space="preserve">16-day </t>
  </si>
  <si>
    <t>MOD13A1</t>
  </si>
  <si>
    <t>MCD43D25</t>
  </si>
  <si>
    <t>MCD43D26</t>
  </si>
  <si>
    <t>MCD43D27</t>
  </si>
  <si>
    <t>MCD43D28</t>
  </si>
  <si>
    <t>MCD43D29</t>
  </si>
  <si>
    <t>MCD43D30</t>
  </si>
  <si>
    <t>MCD43D31</t>
  </si>
  <si>
    <t>MCD43D32</t>
  </si>
  <si>
    <t>MCD43D33</t>
  </si>
  <si>
    <t>MCD43D34</t>
  </si>
  <si>
    <t>L12a</t>
  </si>
  <si>
    <t>MOD44CQ</t>
  </si>
  <si>
    <t>MOD44CT</t>
  </si>
  <si>
    <t>PGE26</t>
  </si>
  <si>
    <t>MOB13A3E</t>
  </si>
  <si>
    <t>Monthly</t>
  </si>
  <si>
    <t>L14c</t>
  </si>
  <si>
    <t>MOB13A3N</t>
  </si>
  <si>
    <t>MOD13A3</t>
  </si>
  <si>
    <t>MOD09GHK</t>
  </si>
  <si>
    <t>MOD09GQ</t>
  </si>
  <si>
    <t>MOD09GQK</t>
  </si>
  <si>
    <t>MOD09GST</t>
  </si>
  <si>
    <t>MOD14GD</t>
  </si>
  <si>
    <t>MOD14GN</t>
  </si>
  <si>
    <t>MODTBGD</t>
  </si>
  <si>
    <t>MODTBGN</t>
  </si>
  <si>
    <t>PGE14</t>
  </si>
  <si>
    <t>MOD10L2G</t>
  </si>
  <si>
    <t>PGE22</t>
  </si>
  <si>
    <t>MODAGAGG</t>
  </si>
  <si>
    <t>MODAGTEX</t>
  </si>
  <si>
    <t>PGE33</t>
  </si>
  <si>
    <t>MOD15A1</t>
  </si>
  <si>
    <t>MOD15A1C</t>
  </si>
  <si>
    <t>PGE43</t>
  </si>
  <si>
    <t>MOB10A1</t>
  </si>
  <si>
    <t>MOD10A1</t>
  </si>
  <si>
    <t>PGE80</t>
  </si>
  <si>
    <t>MODHDFSR</t>
  </si>
  <si>
    <t>total</t>
  </si>
  <si>
    <t>PGE15</t>
  </si>
  <si>
    <t>MOD29PGD</t>
  </si>
  <si>
    <t>MOD29PGN</t>
  </si>
  <si>
    <t>PGE44</t>
  </si>
  <si>
    <t>MOB29PDI</t>
  </si>
  <si>
    <t>MOB29PDT</t>
  </si>
  <si>
    <t>MOB29PNT</t>
  </si>
  <si>
    <t>MOD29P1D</t>
  </si>
  <si>
    <t>MOD29P1N</t>
  </si>
  <si>
    <t>PGE16</t>
  </si>
  <si>
    <t>MOB11_L2</t>
  </si>
  <si>
    <t>L4</t>
  </si>
  <si>
    <t>MOB11A1D</t>
  </si>
  <si>
    <t>MOB11A1N</t>
  </si>
  <si>
    <t>MOB11B1D</t>
  </si>
  <si>
    <t>MOB11B1N</t>
  </si>
  <si>
    <t>MOD11_L2</t>
  </si>
  <si>
    <t>BROWSE.MOD11_L2</t>
  </si>
  <si>
    <t>BROWSE.MOD11[AB]1</t>
  </si>
  <si>
    <t>MOD11A1</t>
  </si>
  <si>
    <t>MOD11B1</t>
  </si>
  <si>
    <t>MOD11UPD</t>
  </si>
  <si>
    <t>intermediate</t>
  </si>
  <si>
    <t>L4/L4d</t>
  </si>
  <si>
    <t>MOD11UPD2</t>
  </si>
  <si>
    <t>PGE31</t>
  </si>
  <si>
    <t>MOD11A2</t>
  </si>
  <si>
    <t>MOD11A2C</t>
  </si>
  <si>
    <t>MOB11A2D</t>
  </si>
  <si>
    <t>MOB11A2N</t>
  </si>
  <si>
    <t>PGE32</t>
  </si>
  <si>
    <t>MOD11C1</t>
  </si>
  <si>
    <t>MOB11C1D</t>
  </si>
  <si>
    <t>MOB11C1N</t>
  </si>
  <si>
    <t>PGE58</t>
  </si>
  <si>
    <t>MOD11C2</t>
  </si>
  <si>
    <t>MOB11C2D</t>
  </si>
  <si>
    <t>MOB11C2N</t>
  </si>
  <si>
    <t>L15</t>
  </si>
  <si>
    <t>PGE59</t>
  </si>
  <si>
    <t>MOD11C3</t>
  </si>
  <si>
    <t>MOB11C3D</t>
  </si>
  <si>
    <t>MOB11C3N</t>
  </si>
  <si>
    <t>L17</t>
  </si>
  <si>
    <t>PGE</t>
  </si>
  <si>
    <t>ESDT</t>
  </si>
  <si>
    <t>Data period</t>
  </si>
  <si>
    <t>Instruments</t>
  </si>
  <si>
    <t>Recipe</t>
  </si>
  <si>
    <t>PGE07</t>
  </si>
  <si>
    <t>MOB10_L2</t>
  </si>
  <si>
    <t>granule</t>
  </si>
  <si>
    <t>Terra/Aqua</t>
  </si>
  <si>
    <t>L1</t>
  </si>
  <si>
    <t>MOD10_L2</t>
  </si>
  <si>
    <t>MOD10L2C</t>
  </si>
  <si>
    <t xml:space="preserve">BROWSE </t>
  </si>
  <si>
    <t xml:space="preserve">total </t>
  </si>
  <si>
    <t>PGE08</t>
  </si>
  <si>
    <t>MOB29IST</t>
  </si>
  <si>
    <t>MOB29SIR</t>
  </si>
  <si>
    <t>MOD29</t>
  </si>
  <si>
    <t>MOD29L2C</t>
  </si>
  <si>
    <t>BROWSE</t>
  </si>
  <si>
    <t>PGE30</t>
  </si>
  <si>
    <t>MOB14</t>
  </si>
  <si>
    <t>MOD14</t>
  </si>
  <si>
    <t>MOD14CRS</t>
  </si>
  <si>
    <t>PGE11</t>
  </si>
  <si>
    <t>MOB09</t>
  </si>
  <si>
    <t>L3</t>
  </si>
  <si>
    <t>MOB09CRT</t>
  </si>
  <si>
    <t>MOB09CRV</t>
  </si>
  <si>
    <t>MOD02CRS</t>
  </si>
  <si>
    <t>MOD02CSS</t>
  </si>
  <si>
    <t>PGE24</t>
  </si>
  <si>
    <t>MCD43C1</t>
  </si>
  <si>
    <t>16-days every 8 days</t>
  </si>
  <si>
    <t>AMPM_L13</t>
  </si>
  <si>
    <t>MCD43C2</t>
  </si>
  <si>
    <t>PGE82</t>
  </si>
  <si>
    <t>MCD43C3</t>
  </si>
  <si>
    <t>MCD43C4</t>
  </si>
  <si>
    <t>AMPM_L13 Total</t>
  </si>
  <si>
    <t>Production File Size (GB/Dataday)</t>
  </si>
  <si>
    <t>MOD09</t>
  </si>
  <si>
    <t>MOD09CRS</t>
  </si>
  <si>
    <t>MOD09IDN</t>
  </si>
  <si>
    <t>orbital</t>
  </si>
  <si>
    <t>MOD09IDS</t>
  </si>
  <si>
    <t>MOD09IDT</t>
  </si>
  <si>
    <t>PGE12</t>
  </si>
  <si>
    <t>MODMGGAD</t>
  </si>
  <si>
    <t>daily</t>
  </si>
  <si>
    <t>L5</t>
  </si>
  <si>
    <t>MOB17A2G</t>
  </si>
  <si>
    <t>MOB17A2N</t>
  </si>
  <si>
    <t>MOB17A3</t>
  </si>
  <si>
    <t>L25</t>
  </si>
  <si>
    <t>L4e</t>
  </si>
  <si>
    <t>PGE16M</t>
  </si>
  <si>
    <t>MODMGGAN</t>
  </si>
  <si>
    <t>MODMGPGD</t>
  </si>
  <si>
    <t>L5P</t>
  </si>
  <si>
    <t>MODMGPGN</t>
  </si>
  <si>
    <t>MODPT1KD</t>
  </si>
  <si>
    <t>MODPT1KN</t>
  </si>
  <si>
    <t>MODPTHKM</t>
  </si>
  <si>
    <t>MCD43D01</t>
  </si>
  <si>
    <t>MCD43D02</t>
  </si>
  <si>
    <t>MCD43D03</t>
  </si>
  <si>
    <t>MCD43D04</t>
  </si>
  <si>
    <t>MCD43D05</t>
  </si>
  <si>
    <t>MCD43D06</t>
  </si>
  <si>
    <t>MCD43D07</t>
  </si>
  <si>
    <t>MCD43D08</t>
  </si>
  <si>
    <t>MCD43D09</t>
  </si>
  <si>
    <t>MCD43D10</t>
  </si>
  <si>
    <t>MCD43D11</t>
  </si>
  <si>
    <t>MCD43D12</t>
  </si>
  <si>
    <t>MCD43D13</t>
  </si>
  <si>
    <t>MCD43D14</t>
  </si>
  <si>
    <t>MCD43D15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</si>
</sst>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"/>
    <numFmt numFmtId="166" formatCode="0.000000"/>
    <numFmt numFmtId="167" formatCode="0.000"/>
  </numFmts>
  <fonts count="1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10"/>
      <name val="Arial"/>
      <family val="0"/>
    </font>
    <font>
      <sz val="10"/>
      <color indexed="17"/>
      <name val="Verdana"/>
      <family val="0"/>
    </font>
    <font>
      <sz val="10"/>
      <color indexed="17"/>
      <name val="Arial"/>
      <family val="0"/>
    </font>
    <font>
      <sz val="10"/>
      <color indexed="12"/>
      <name val="Verdana"/>
      <family val="0"/>
    </font>
    <font>
      <sz val="10"/>
      <color indexed="12"/>
      <name val="Arial"/>
      <family val="0"/>
    </font>
    <font>
      <sz val="10"/>
      <color indexed="10"/>
      <name val="Verdana"/>
      <family val="0"/>
    </font>
    <font>
      <sz val="10"/>
      <color indexed="10"/>
      <name val="Arial"/>
      <family val="0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49" fontId="7" fillId="0" borderId="1" xfId="0" applyNumberFormat="1" applyFont="1" applyBorder="1" applyAlignment="1">
      <alignment/>
    </xf>
    <xf numFmtId="0" fontId="7" fillId="0" borderId="1" xfId="0" applyFont="1" applyBorder="1" applyAlignment="1">
      <alignment/>
    </xf>
    <xf numFmtId="0" fontId="0" fillId="0" borderId="2" xfId="0" applyFont="1" applyFill="1" applyBorder="1" applyAlignment="1">
      <alignment/>
    </xf>
    <xf numFmtId="49" fontId="7" fillId="0" borderId="2" xfId="0" applyNumberFormat="1" applyFont="1" applyBorder="1" applyAlignment="1">
      <alignment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49" fontId="7" fillId="0" borderId="3" xfId="0" applyNumberFormat="1" applyFont="1" applyBorder="1" applyAlignment="1">
      <alignment/>
    </xf>
    <xf numFmtId="0" fontId="0" fillId="0" borderId="2" xfId="0" applyFont="1" applyBorder="1" applyAlignment="1">
      <alignment/>
    </xf>
    <xf numFmtId="167" fontId="10" fillId="0" borderId="1" xfId="0" applyNumberFormat="1" applyFont="1" applyBorder="1" applyAlignment="1">
      <alignment/>
    </xf>
    <xf numFmtId="167" fontId="10" fillId="0" borderId="3" xfId="0" applyNumberFormat="1" applyFont="1" applyBorder="1" applyAlignment="1">
      <alignment/>
    </xf>
    <xf numFmtId="167" fontId="8" fillId="0" borderId="3" xfId="0" applyNumberFormat="1" applyFont="1" applyBorder="1" applyAlignment="1">
      <alignment horizontal="center" wrapText="1"/>
    </xf>
    <xf numFmtId="167" fontId="10" fillId="0" borderId="3" xfId="0" applyNumberFormat="1" applyFont="1" applyBorder="1" applyAlignment="1">
      <alignment horizontal="center" wrapText="1"/>
    </xf>
    <xf numFmtId="167" fontId="8" fillId="0" borderId="4" xfId="0" applyNumberFormat="1" applyFont="1" applyBorder="1" applyAlignment="1">
      <alignment/>
    </xf>
    <xf numFmtId="167" fontId="10" fillId="0" borderId="4" xfId="0" applyNumberFormat="1" applyFont="1" applyBorder="1" applyAlignment="1">
      <alignment/>
    </xf>
    <xf numFmtId="167" fontId="8" fillId="0" borderId="1" xfId="0" applyNumberFormat="1" applyFont="1" applyBorder="1" applyAlignment="1">
      <alignment/>
    </xf>
    <xf numFmtId="167" fontId="8" fillId="0" borderId="5" xfId="0" applyNumberFormat="1" applyFont="1" applyBorder="1" applyAlignment="1">
      <alignment/>
    </xf>
    <xf numFmtId="167" fontId="10" fillId="0" borderId="5" xfId="0" applyNumberFormat="1" applyFont="1" applyBorder="1" applyAlignment="1">
      <alignment/>
    </xf>
    <xf numFmtId="167" fontId="8" fillId="0" borderId="3" xfId="0" applyNumberFormat="1" applyFont="1" applyBorder="1" applyAlignment="1">
      <alignment/>
    </xf>
    <xf numFmtId="167" fontId="8" fillId="0" borderId="2" xfId="0" applyNumberFormat="1" applyFont="1" applyBorder="1" applyAlignment="1">
      <alignment/>
    </xf>
    <xf numFmtId="167" fontId="10" fillId="0" borderId="2" xfId="0" applyNumberFormat="1" applyFont="1" applyBorder="1" applyAlignment="1">
      <alignment/>
    </xf>
    <xf numFmtId="167" fontId="8" fillId="0" borderId="6" xfId="0" applyNumberFormat="1" applyFont="1" applyBorder="1" applyAlignment="1">
      <alignment/>
    </xf>
    <xf numFmtId="167" fontId="10" fillId="0" borderId="6" xfId="0" applyNumberFormat="1" applyFont="1" applyBorder="1" applyAlignment="1">
      <alignment/>
    </xf>
    <xf numFmtId="167" fontId="0" fillId="0" borderId="2" xfId="0" applyNumberFormat="1" applyFont="1" applyFill="1" applyBorder="1" applyAlignment="1">
      <alignment/>
    </xf>
    <xf numFmtId="167" fontId="8" fillId="0" borderId="2" xfId="0" applyNumberFormat="1" applyFont="1" applyFill="1" applyBorder="1" applyAlignment="1">
      <alignment/>
    </xf>
    <xf numFmtId="167" fontId="10" fillId="0" borderId="2" xfId="0" applyNumberFormat="1" applyFont="1" applyFill="1" applyBorder="1" applyAlignment="1">
      <alignment/>
    </xf>
    <xf numFmtId="167" fontId="7" fillId="0" borderId="1" xfId="0" applyNumberFormat="1" applyFont="1" applyBorder="1" applyAlignment="1">
      <alignment/>
    </xf>
    <xf numFmtId="167" fontId="7" fillId="0" borderId="3" xfId="0" applyNumberFormat="1" applyFont="1" applyBorder="1" applyAlignment="1">
      <alignment/>
    </xf>
    <xf numFmtId="167" fontId="9" fillId="0" borderId="2" xfId="0" applyNumberFormat="1" applyFont="1" applyBorder="1" applyAlignment="1">
      <alignment/>
    </xf>
    <xf numFmtId="167" fontId="11" fillId="0" borderId="2" xfId="0" applyNumberFormat="1" applyFont="1" applyBorder="1" applyAlignment="1">
      <alignment/>
    </xf>
    <xf numFmtId="167" fontId="0" fillId="0" borderId="2" xfId="0" applyNumberFormat="1" applyFont="1" applyBorder="1" applyAlignment="1">
      <alignment/>
    </xf>
    <xf numFmtId="167" fontId="9" fillId="0" borderId="3" xfId="0" applyNumberFormat="1" applyFont="1" applyBorder="1" applyAlignment="1">
      <alignment/>
    </xf>
    <xf numFmtId="167" fontId="7" fillId="0" borderId="2" xfId="0" applyNumberFormat="1" applyFont="1" applyBorder="1" applyAlignment="1">
      <alignment/>
    </xf>
    <xf numFmtId="167" fontId="8" fillId="0" borderId="7" xfId="0" applyNumberFormat="1" applyFont="1" applyBorder="1" applyAlignment="1">
      <alignment/>
    </xf>
    <xf numFmtId="0" fontId="0" fillId="2" borderId="2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167" fontId="1" fillId="2" borderId="2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167" fontId="10" fillId="2" borderId="1" xfId="0" applyNumberFormat="1" applyFont="1" applyFill="1" applyBorder="1" applyAlignment="1">
      <alignment/>
    </xf>
    <xf numFmtId="167" fontId="10" fillId="2" borderId="3" xfId="0" applyNumberFormat="1" applyFont="1" applyFill="1" applyBorder="1" applyAlignment="1">
      <alignment/>
    </xf>
    <xf numFmtId="0" fontId="0" fillId="0" borderId="0" xfId="0" applyFont="1" applyAlignment="1">
      <alignment/>
    </xf>
    <xf numFmtId="49" fontId="1" fillId="2" borderId="2" xfId="0" applyNumberFormat="1" applyFont="1" applyFill="1" applyBorder="1" applyAlignment="1">
      <alignment/>
    </xf>
    <xf numFmtId="0" fontId="0" fillId="2" borderId="2" xfId="0" applyFont="1" applyFill="1" applyBorder="1" applyAlignment="1">
      <alignment/>
    </xf>
    <xf numFmtId="49" fontId="0" fillId="0" borderId="3" xfId="0" applyNumberFormat="1" applyFont="1" applyBorder="1" applyAlignment="1">
      <alignment wrapText="1"/>
    </xf>
    <xf numFmtId="167" fontId="0" fillId="0" borderId="3" xfId="0" applyNumberFormat="1" applyFont="1" applyBorder="1" applyAlignment="1">
      <alignment wrapText="1"/>
    </xf>
    <xf numFmtId="167" fontId="0" fillId="0" borderId="3" xfId="0" applyNumberFormat="1" applyFont="1" applyBorder="1" applyAlignment="1">
      <alignment horizontal="center" wrapText="1"/>
    </xf>
    <xf numFmtId="49" fontId="0" fillId="0" borderId="3" xfId="0" applyNumberFormat="1" applyFont="1" applyBorder="1" applyAlignment="1">
      <alignment wrapText="1"/>
    </xf>
    <xf numFmtId="49" fontId="0" fillId="0" borderId="4" xfId="0" applyNumberFormat="1" applyFont="1" applyBorder="1" applyAlignment="1">
      <alignment/>
    </xf>
    <xf numFmtId="0" fontId="0" fillId="0" borderId="4" xfId="0" applyFont="1" applyBorder="1" applyAlignment="1">
      <alignment/>
    </xf>
    <xf numFmtId="167" fontId="0" fillId="0" borderId="4" xfId="0" applyNumberFormat="1" applyFont="1" applyBorder="1" applyAlignment="1">
      <alignment/>
    </xf>
    <xf numFmtId="49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167" fontId="0" fillId="0" borderId="1" xfId="0" applyNumberFormat="1" applyFont="1" applyBorder="1" applyAlignment="1">
      <alignment/>
    </xf>
    <xf numFmtId="167" fontId="0" fillId="2" borderId="1" xfId="0" applyNumberFormat="1" applyFont="1" applyFill="1" applyBorder="1" applyAlignment="1">
      <alignment/>
    </xf>
    <xf numFmtId="49" fontId="0" fillId="0" borderId="5" xfId="0" applyNumberFormat="1" applyFont="1" applyBorder="1" applyAlignment="1">
      <alignment/>
    </xf>
    <xf numFmtId="0" fontId="0" fillId="0" borderId="5" xfId="0" applyFont="1" applyBorder="1" applyAlignment="1">
      <alignment/>
    </xf>
    <xf numFmtId="167" fontId="0" fillId="0" borderId="5" xfId="0" applyNumberFormat="1" applyFont="1" applyBorder="1" applyAlignment="1">
      <alignment/>
    </xf>
    <xf numFmtId="167" fontId="0" fillId="2" borderId="5" xfId="0" applyNumberFormat="1" applyFont="1" applyFill="1" applyBorder="1" applyAlignment="1">
      <alignment/>
    </xf>
    <xf numFmtId="49" fontId="0" fillId="0" borderId="3" xfId="0" applyNumberFormat="1" applyFont="1" applyBorder="1" applyAlignment="1">
      <alignment/>
    </xf>
    <xf numFmtId="0" fontId="0" fillId="0" borderId="3" xfId="0" applyFont="1" applyBorder="1" applyAlignment="1">
      <alignment/>
    </xf>
    <xf numFmtId="167" fontId="0" fillId="0" borderId="3" xfId="0" applyNumberFormat="1" applyFont="1" applyBorder="1" applyAlignment="1">
      <alignment/>
    </xf>
    <xf numFmtId="167" fontId="0" fillId="2" borderId="3" xfId="0" applyNumberFormat="1" applyFont="1" applyFill="1" applyBorder="1" applyAlignment="1">
      <alignment/>
    </xf>
    <xf numFmtId="49" fontId="0" fillId="0" borderId="2" xfId="0" applyNumberFormat="1" applyFont="1" applyBorder="1" applyAlignment="1">
      <alignment/>
    </xf>
    <xf numFmtId="167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7" fillId="0" borderId="2" xfId="0" applyFont="1" applyBorder="1" applyAlignment="1">
      <alignment/>
    </xf>
    <xf numFmtId="167" fontId="7" fillId="0" borderId="2" xfId="0" applyNumberFormat="1" applyFont="1" applyBorder="1" applyAlignment="1">
      <alignment/>
    </xf>
    <xf numFmtId="49" fontId="0" fillId="0" borderId="6" xfId="0" applyNumberFormat="1" applyFont="1" applyBorder="1" applyAlignment="1">
      <alignment/>
    </xf>
    <xf numFmtId="0" fontId="0" fillId="0" borderId="6" xfId="0" applyFont="1" applyBorder="1" applyAlignment="1">
      <alignment/>
    </xf>
    <xf numFmtId="167" fontId="0" fillId="0" borderId="6" xfId="0" applyNumberFormat="1" applyFont="1" applyBorder="1" applyAlignment="1">
      <alignment/>
    </xf>
    <xf numFmtId="167" fontId="0" fillId="2" borderId="6" xfId="0" applyNumberFormat="1" applyFont="1" applyFill="1" applyBorder="1" applyAlignment="1">
      <alignment/>
    </xf>
    <xf numFmtId="0" fontId="0" fillId="0" borderId="0" xfId="0" applyFont="1" applyAlignment="1">
      <alignment/>
    </xf>
    <xf numFmtId="167" fontId="0" fillId="0" borderId="2" xfId="0" applyNumberFormat="1" applyFont="1" applyFill="1" applyBorder="1" applyAlignment="1">
      <alignment/>
    </xf>
    <xf numFmtId="0" fontId="0" fillId="0" borderId="2" xfId="0" applyFont="1" applyFill="1" applyBorder="1" applyAlignment="1">
      <alignment/>
    </xf>
    <xf numFmtId="167" fontId="0" fillId="0" borderId="2" xfId="0" applyNumberFormat="1" applyFont="1" applyBorder="1" applyAlignment="1">
      <alignment/>
    </xf>
    <xf numFmtId="49" fontId="0" fillId="0" borderId="2" xfId="0" applyNumberFormat="1" applyFont="1" applyBorder="1" applyAlignment="1">
      <alignment/>
    </xf>
    <xf numFmtId="49" fontId="0" fillId="0" borderId="8" xfId="0" applyNumberFormat="1" applyFont="1" applyBorder="1" applyAlignment="1">
      <alignment/>
    </xf>
    <xf numFmtId="49" fontId="0" fillId="0" borderId="9" xfId="0" applyNumberFormat="1" applyFont="1" applyBorder="1" applyAlignment="1">
      <alignment/>
    </xf>
    <xf numFmtId="167" fontId="0" fillId="0" borderId="9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0" fillId="0" borderId="12" xfId="0" applyFont="1" applyBorder="1" applyAlignment="1">
      <alignment/>
    </xf>
    <xf numFmtId="49" fontId="0" fillId="0" borderId="12" xfId="0" applyNumberFormat="1" applyFont="1" applyBorder="1" applyAlignment="1">
      <alignment/>
    </xf>
    <xf numFmtId="167" fontId="0" fillId="0" borderId="12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167" fontId="0" fillId="0" borderId="10" xfId="0" applyNumberFormat="1" applyFont="1" applyBorder="1" applyAlignment="1">
      <alignment/>
    </xf>
    <xf numFmtId="167" fontId="0" fillId="0" borderId="0" xfId="0" applyNumberFormat="1" applyFont="1" applyAlignment="1">
      <alignment/>
    </xf>
    <xf numFmtId="0" fontId="0" fillId="0" borderId="7" xfId="0" applyFont="1" applyBorder="1" applyAlignment="1">
      <alignment/>
    </xf>
    <xf numFmtId="167" fontId="7" fillId="0" borderId="13" xfId="0" applyNumberFormat="1" applyFont="1" applyBorder="1" applyAlignment="1">
      <alignment/>
    </xf>
    <xf numFmtId="167" fontId="0" fillId="0" borderId="14" xfId="0" applyNumberFormat="1" applyFont="1" applyBorder="1" applyAlignment="1">
      <alignment/>
    </xf>
    <xf numFmtId="0" fontId="1" fillId="2" borderId="5" xfId="0" applyFont="1" applyFill="1" applyBorder="1" applyAlignment="1">
      <alignment/>
    </xf>
    <xf numFmtId="167" fontId="1" fillId="2" borderId="5" xfId="0" applyNumberFormat="1" applyFont="1" applyFill="1" applyBorder="1" applyAlignment="1">
      <alignment/>
    </xf>
    <xf numFmtId="0" fontId="1" fillId="2" borderId="15" xfId="0" applyFont="1" applyFill="1" applyBorder="1" applyAlignment="1">
      <alignment/>
    </xf>
    <xf numFmtId="167" fontId="1" fillId="2" borderId="0" xfId="0" applyNumberFormat="1" applyFont="1" applyFill="1" applyAlignment="1">
      <alignment/>
    </xf>
    <xf numFmtId="0" fontId="1" fillId="2" borderId="7" xfId="0" applyFont="1" applyFill="1" applyBorder="1" applyAlignment="1">
      <alignment/>
    </xf>
    <xf numFmtId="167" fontId="0" fillId="2" borderId="2" xfId="0" applyNumberFormat="1" applyFont="1" applyFill="1" applyBorder="1" applyAlignment="1">
      <alignment/>
    </xf>
    <xf numFmtId="49" fontId="12" fillId="0" borderId="1" xfId="0" applyNumberFormat="1" applyFont="1" applyBorder="1" applyAlignment="1">
      <alignment/>
    </xf>
    <xf numFmtId="49" fontId="12" fillId="0" borderId="3" xfId="0" applyNumberFormat="1" applyFont="1" applyBorder="1" applyAlignment="1">
      <alignment/>
    </xf>
    <xf numFmtId="49" fontId="13" fillId="0" borderId="1" xfId="0" applyNumberFormat="1" applyFont="1" applyBorder="1" applyAlignment="1">
      <alignment/>
    </xf>
    <xf numFmtId="49" fontId="13" fillId="0" borderId="3" xfId="0" applyNumberFormat="1" applyFont="1" applyBorder="1" applyAlignment="1">
      <alignment/>
    </xf>
    <xf numFmtId="0" fontId="12" fillId="0" borderId="1" xfId="0" applyFont="1" applyBorder="1" applyAlignment="1">
      <alignment/>
    </xf>
    <xf numFmtId="0" fontId="12" fillId="0" borderId="3" xfId="0" applyFont="1" applyBorder="1" applyAlignment="1">
      <alignment/>
    </xf>
    <xf numFmtId="0" fontId="12" fillId="0" borderId="0" xfId="0" applyFont="1" applyAlignment="1">
      <alignment/>
    </xf>
    <xf numFmtId="0" fontId="0" fillId="0" borderId="16" xfId="0" applyFont="1" applyBorder="1" applyAlignment="1">
      <alignment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2" fontId="8" fillId="0" borderId="1" xfId="0" applyNumberFormat="1" applyFont="1" applyBorder="1" applyAlignment="1">
      <alignment/>
    </xf>
    <xf numFmtId="49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2" fontId="8" fillId="0" borderId="3" xfId="0" applyNumberFormat="1" applyFont="1" applyBorder="1" applyAlignment="1">
      <alignment/>
    </xf>
    <xf numFmtId="0" fontId="0" fillId="0" borderId="2" xfId="0" applyBorder="1" applyAlignment="1">
      <alignment/>
    </xf>
    <xf numFmtId="167" fontId="0" fillId="2" borderId="3" xfId="0" applyNumberFormat="1" applyFill="1" applyBorder="1" applyAlignment="1">
      <alignment/>
    </xf>
    <xf numFmtId="167" fontId="0" fillId="2" borderId="1" xfId="0" applyNumberFormat="1" applyFill="1" applyBorder="1" applyAlignment="1">
      <alignment/>
    </xf>
    <xf numFmtId="2" fontId="14" fillId="0" borderId="1" xfId="0" applyNumberFormat="1" applyFont="1" applyBorder="1" applyAlignment="1">
      <alignment/>
    </xf>
    <xf numFmtId="2" fontId="7" fillId="0" borderId="1" xfId="0" applyNumberFormat="1" applyFont="1" applyBorder="1" applyAlignment="1">
      <alignment/>
    </xf>
    <xf numFmtId="2" fontId="14" fillId="0" borderId="3" xfId="0" applyNumberFormat="1" applyFont="1" applyBorder="1" applyAlignment="1">
      <alignment/>
    </xf>
    <xf numFmtId="2" fontId="7" fillId="0" borderId="3" xfId="0" applyNumberFormat="1" applyFont="1" applyBorder="1" applyAlignment="1">
      <alignment/>
    </xf>
    <xf numFmtId="167" fontId="0" fillId="2" borderId="1" xfId="0" applyNumberFormat="1" applyFont="1" applyFill="1" applyBorder="1" applyAlignment="1">
      <alignment/>
    </xf>
    <xf numFmtId="167" fontId="0" fillId="2" borderId="3" xfId="0" applyNumberFormat="1" applyFont="1" applyFill="1" applyBorder="1" applyAlignment="1">
      <alignment/>
    </xf>
    <xf numFmtId="167" fontId="0" fillId="0" borderId="1" xfId="0" applyNumberFormat="1" applyFont="1" applyBorder="1" applyAlignment="1">
      <alignment/>
    </xf>
    <xf numFmtId="167" fontId="0" fillId="0" borderId="1" xfId="0" applyNumberFormat="1" applyBorder="1" applyAlignment="1">
      <alignment/>
    </xf>
    <xf numFmtId="167" fontId="0" fillId="0" borderId="3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J469"/>
  <sheetViews>
    <sheetView tabSelected="1" workbookViewId="0" topLeftCell="A183">
      <selection activeCell="I230" sqref="I230"/>
    </sheetView>
  </sheetViews>
  <sheetFormatPr defaultColWidth="11.00390625" defaultRowHeight="12.75"/>
  <cols>
    <col min="1" max="1" width="6.75390625" style="64" customWidth="1"/>
    <col min="2" max="2" width="10.75390625" style="64" customWidth="1"/>
    <col min="3" max="3" width="10.875" style="64" customWidth="1"/>
    <col min="4" max="4" width="12.125" style="63" hidden="1" customWidth="1"/>
    <col min="5" max="5" width="11.75390625" style="63" customWidth="1"/>
    <col min="6" max="6" width="8.875" style="19" customWidth="1"/>
    <col min="7" max="7" width="10.00390625" style="20" customWidth="1"/>
    <col min="8" max="8" width="9.75390625" style="63" customWidth="1"/>
    <col min="9" max="9" width="10.375" style="64" customWidth="1"/>
    <col min="10" max="10" width="9.625" style="64" customWidth="1"/>
    <col min="78" max="16384" width="10.75390625" style="40" customWidth="1"/>
  </cols>
  <sheetData>
    <row r="1" spans="1:10" ht="52.5" thickBot="1">
      <c r="A1" s="43" t="s">
        <v>254</v>
      </c>
      <c r="B1" s="43" t="s">
        <v>255</v>
      </c>
      <c r="C1" s="43" t="s">
        <v>256</v>
      </c>
      <c r="D1" s="44" t="s">
        <v>144</v>
      </c>
      <c r="E1" s="44" t="s">
        <v>294</v>
      </c>
      <c r="F1" s="11" t="s">
        <v>141</v>
      </c>
      <c r="G1" s="12" t="s">
        <v>142</v>
      </c>
      <c r="H1" s="45" t="s">
        <v>143</v>
      </c>
      <c r="I1" s="46" t="s">
        <v>257</v>
      </c>
      <c r="J1" s="46" t="s">
        <v>258</v>
      </c>
    </row>
    <row r="2" spans="1:10" ht="12.75">
      <c r="A2" s="47" t="s">
        <v>259</v>
      </c>
      <c r="B2" s="47" t="s">
        <v>260</v>
      </c>
      <c r="C2" s="48" t="s">
        <v>261</v>
      </c>
      <c r="D2" s="49">
        <v>3.7455431637801477</v>
      </c>
      <c r="E2" s="49">
        <f>D2/1024</f>
        <v>0.0036577569958790505</v>
      </c>
      <c r="F2" s="13"/>
      <c r="G2" s="14"/>
      <c r="H2" s="57"/>
      <c r="I2" s="48" t="s">
        <v>262</v>
      </c>
      <c r="J2" s="48" t="s">
        <v>263</v>
      </c>
    </row>
    <row r="3" spans="1:10" ht="12.75">
      <c r="A3" s="50" t="s">
        <v>259</v>
      </c>
      <c r="B3" s="96" t="s">
        <v>264</v>
      </c>
      <c r="C3" s="51" t="s">
        <v>261</v>
      </c>
      <c r="D3" s="52">
        <v>175.34683720107947</v>
      </c>
      <c r="E3" s="52">
        <f>D3/1024</f>
        <v>0.17123714570417917</v>
      </c>
      <c r="F3" s="15"/>
      <c r="G3" s="9">
        <f>E3</f>
        <v>0.17123714570417917</v>
      </c>
      <c r="H3" s="57"/>
      <c r="I3" s="51" t="s">
        <v>262</v>
      </c>
      <c r="J3" s="51" t="s">
        <v>263</v>
      </c>
    </row>
    <row r="4" spans="1:10" ht="12.75">
      <c r="A4" s="54" t="s">
        <v>259</v>
      </c>
      <c r="B4" s="54" t="s">
        <v>265</v>
      </c>
      <c r="C4" s="55" t="s">
        <v>261</v>
      </c>
      <c r="D4" s="56">
        <v>207.81848353025333</v>
      </c>
      <c r="E4" s="56">
        <f>D4/1024</f>
        <v>0.20294773782251302</v>
      </c>
      <c r="F4" s="16"/>
      <c r="G4" s="17"/>
      <c r="H4" s="57"/>
      <c r="I4" s="55" t="s">
        <v>262</v>
      </c>
      <c r="J4" s="55" t="s">
        <v>263</v>
      </c>
    </row>
    <row r="5" spans="1:10" ht="13.5" thickBot="1">
      <c r="A5" s="58" t="s">
        <v>259</v>
      </c>
      <c r="B5" s="58" t="s">
        <v>266</v>
      </c>
      <c r="C5" s="59" t="s">
        <v>261</v>
      </c>
      <c r="D5" s="60">
        <v>3.9834572491683313</v>
      </c>
      <c r="E5" s="60">
        <f>D5/1024</f>
        <v>0.0038900949698909486</v>
      </c>
      <c r="F5" s="18"/>
      <c r="G5" s="10">
        <f>E5</f>
        <v>0.0038900949698909486</v>
      </c>
      <c r="H5" s="39"/>
      <c r="I5" s="59" t="s">
        <v>262</v>
      </c>
      <c r="J5" s="59" t="s">
        <v>263</v>
      </c>
    </row>
    <row r="6" spans="1:8" ht="12.75">
      <c r="A6" s="62"/>
      <c r="B6" s="62"/>
      <c r="C6" s="5" t="s">
        <v>267</v>
      </c>
      <c r="D6" s="32">
        <f>SUM(D2:D5)</f>
        <v>390.89432114428126</v>
      </c>
      <c r="E6" s="32">
        <f>SUM(E2:E5)</f>
        <v>0.38173273549246217</v>
      </c>
      <c r="G6" s="20">
        <f>SUM(G3:G5)</f>
        <v>0.17512724067407012</v>
      </c>
      <c r="H6" s="63">
        <f>SUM(H2:H5)</f>
        <v>0</v>
      </c>
    </row>
    <row r="7" spans="1:5" ht="12.75">
      <c r="A7" s="62"/>
      <c r="B7" s="62"/>
      <c r="C7" s="65"/>
      <c r="D7" s="66"/>
      <c r="E7" s="66"/>
    </row>
    <row r="8" spans="1:10" ht="12.75">
      <c r="A8" s="50" t="s">
        <v>268</v>
      </c>
      <c r="B8" s="50" t="s">
        <v>269</v>
      </c>
      <c r="C8" s="51" t="s">
        <v>261</v>
      </c>
      <c r="D8" s="52">
        <v>8.409376503902342</v>
      </c>
      <c r="E8" s="52">
        <f aca="true" t="shared" si="0" ref="E8:E13">D8/1024</f>
        <v>0.008212281742092131</v>
      </c>
      <c r="F8" s="15"/>
      <c r="G8" s="9"/>
      <c r="H8" s="57"/>
      <c r="I8" s="51" t="s">
        <v>262</v>
      </c>
      <c r="J8" s="51" t="s">
        <v>263</v>
      </c>
    </row>
    <row r="9" spans="1:10" ht="12.75">
      <c r="A9" s="50" t="s">
        <v>268</v>
      </c>
      <c r="B9" s="50" t="s">
        <v>270</v>
      </c>
      <c r="C9" s="51" t="s">
        <v>261</v>
      </c>
      <c r="D9" s="52">
        <v>3.6146786302945153</v>
      </c>
      <c r="E9" s="52">
        <f t="shared" si="0"/>
        <v>0.0035299595998969876</v>
      </c>
      <c r="F9" s="15"/>
      <c r="G9" s="9"/>
      <c r="H9" s="57"/>
      <c r="I9" s="51" t="s">
        <v>262</v>
      </c>
      <c r="J9" s="51" t="s">
        <v>263</v>
      </c>
    </row>
    <row r="10" spans="1:10" ht="12.75">
      <c r="A10" s="50" t="s">
        <v>268</v>
      </c>
      <c r="B10" s="96" t="s">
        <v>271</v>
      </c>
      <c r="C10" s="51" t="s">
        <v>261</v>
      </c>
      <c r="D10" s="52">
        <v>297.5855903299904</v>
      </c>
      <c r="E10" s="52">
        <f t="shared" si="0"/>
        <v>0.29061092805663125</v>
      </c>
      <c r="F10" s="15"/>
      <c r="G10" s="9">
        <f>E10</f>
        <v>0.29061092805663125</v>
      </c>
      <c r="H10" s="57"/>
      <c r="I10" s="51" t="s">
        <v>262</v>
      </c>
      <c r="J10" s="51" t="s">
        <v>263</v>
      </c>
    </row>
    <row r="11" spans="1:10" ht="12.75">
      <c r="A11" s="67" t="s">
        <v>268</v>
      </c>
      <c r="B11" s="67" t="s">
        <v>272</v>
      </c>
      <c r="C11" s="68" t="s">
        <v>261</v>
      </c>
      <c r="D11" s="69">
        <v>233.24119757283185</v>
      </c>
      <c r="E11" s="69">
        <f t="shared" si="0"/>
        <v>0.2277746070047186</v>
      </c>
      <c r="F11" s="21"/>
      <c r="G11" s="22"/>
      <c r="H11" s="70"/>
      <c r="I11" s="68" t="s">
        <v>262</v>
      </c>
      <c r="J11" s="68" t="s">
        <v>263</v>
      </c>
    </row>
    <row r="12" spans="1:10" ht="13.5" thickBot="1">
      <c r="A12" s="58" t="s">
        <v>268</v>
      </c>
      <c r="B12" s="58" t="s">
        <v>273</v>
      </c>
      <c r="C12" s="59" t="s">
        <v>261</v>
      </c>
      <c r="D12" s="60">
        <v>12.259108141848916</v>
      </c>
      <c r="E12" s="60">
        <f t="shared" si="0"/>
        <v>0.011971785294774332</v>
      </c>
      <c r="F12" s="18"/>
      <c r="G12" s="10">
        <f>E12</f>
        <v>0.011971785294774332</v>
      </c>
      <c r="H12" s="39"/>
      <c r="I12" s="59" t="s">
        <v>262</v>
      </c>
      <c r="J12" s="59" t="s">
        <v>263</v>
      </c>
    </row>
    <row r="13" spans="1:8" ht="12.75">
      <c r="A13" s="62"/>
      <c r="B13" s="62"/>
      <c r="C13" s="65" t="s">
        <v>267</v>
      </c>
      <c r="D13" s="66">
        <f>SUM(D8:D12)</f>
        <v>555.1099511788681</v>
      </c>
      <c r="E13" s="32">
        <f t="shared" si="0"/>
        <v>0.5420995616981134</v>
      </c>
      <c r="G13" s="20">
        <f>SUM(G10:G12)</f>
        <v>0.3025827133514056</v>
      </c>
      <c r="H13" s="63">
        <f>SUM(H8:H12)</f>
        <v>0</v>
      </c>
    </row>
    <row r="15" spans="1:10" ht="12.75">
      <c r="A15" s="50" t="s">
        <v>274</v>
      </c>
      <c r="B15" s="50" t="s">
        <v>275</v>
      </c>
      <c r="C15" s="51" t="s">
        <v>261</v>
      </c>
      <c r="D15" s="52">
        <v>5.719110131263733</v>
      </c>
      <c r="E15" s="52">
        <f>D15/1024</f>
        <v>0.005585068487562239</v>
      </c>
      <c r="F15" s="15"/>
      <c r="G15" s="9"/>
      <c r="H15" s="57"/>
      <c r="I15" s="51" t="s">
        <v>262</v>
      </c>
      <c r="J15" s="51" t="s">
        <v>263</v>
      </c>
    </row>
    <row r="16" spans="1:10" ht="12.75">
      <c r="A16" s="50" t="s">
        <v>274</v>
      </c>
      <c r="B16" s="96" t="s">
        <v>276</v>
      </c>
      <c r="C16" s="51" t="s">
        <v>261</v>
      </c>
      <c r="D16" s="52">
        <v>114.25774270296094</v>
      </c>
      <c r="E16" s="52">
        <f>D16/1024</f>
        <v>0.11157982685836029</v>
      </c>
      <c r="F16" s="15">
        <f>E16</f>
        <v>0.11157982685836029</v>
      </c>
      <c r="G16" s="9"/>
      <c r="H16" s="57"/>
      <c r="I16" s="51" t="s">
        <v>262</v>
      </c>
      <c r="J16" s="51" t="s">
        <v>263</v>
      </c>
    </row>
    <row r="17" spans="1:10" ht="12.75">
      <c r="A17" s="50" t="s">
        <v>274</v>
      </c>
      <c r="B17" s="50" t="s">
        <v>277</v>
      </c>
      <c r="C17" s="51" t="s">
        <v>261</v>
      </c>
      <c r="D17" s="52">
        <v>278.3590198755249</v>
      </c>
      <c r="E17" s="52">
        <f>D17/1024</f>
        <v>0.2718349803471923</v>
      </c>
      <c r="F17" s="15"/>
      <c r="G17" s="9"/>
      <c r="H17" s="53"/>
      <c r="I17" s="51" t="s">
        <v>262</v>
      </c>
      <c r="J17" s="51" t="s">
        <v>263</v>
      </c>
    </row>
    <row r="18" spans="1:10" ht="13.5" thickBot="1">
      <c r="A18" s="58" t="s">
        <v>274</v>
      </c>
      <c r="B18" s="58" t="s">
        <v>273</v>
      </c>
      <c r="C18" s="59" t="s">
        <v>261</v>
      </c>
      <c r="D18" s="60">
        <v>6.148400902748108</v>
      </c>
      <c r="E18" s="60">
        <f>D18/1024</f>
        <v>0.006004297756589949</v>
      </c>
      <c r="F18" s="18">
        <f>E18</f>
        <v>0.006004297756589949</v>
      </c>
      <c r="G18" s="10"/>
      <c r="H18" s="39"/>
      <c r="I18" s="59" t="s">
        <v>262</v>
      </c>
      <c r="J18" s="59" t="s">
        <v>263</v>
      </c>
    </row>
    <row r="19" spans="1:8" ht="12.75">
      <c r="A19" s="62"/>
      <c r="B19" s="62"/>
      <c r="C19" s="65" t="s">
        <v>267</v>
      </c>
      <c r="D19" s="66">
        <f>SUM(D15:D18)</f>
        <v>404.48427361249765</v>
      </c>
      <c r="E19" s="32">
        <f>D19/1024</f>
        <v>0.39500417344970473</v>
      </c>
      <c r="F19" s="19">
        <f>SUM(F16:F18)</f>
        <v>0.11758412461495024</v>
      </c>
      <c r="H19" s="63">
        <f>SUM(H15:H18)</f>
        <v>0</v>
      </c>
    </row>
    <row r="20" spans="1:5" ht="12.75">
      <c r="A20" s="62"/>
      <c r="B20" s="62"/>
      <c r="C20" s="65"/>
      <c r="D20" s="66"/>
      <c r="E20" s="66"/>
    </row>
    <row r="21" spans="1:77" s="71" customFormat="1" ht="12.75">
      <c r="A21" s="42"/>
      <c r="B21" s="42"/>
      <c r="C21" s="35" t="s">
        <v>72</v>
      </c>
      <c r="D21" s="36">
        <f>D19+D13+D6</f>
        <v>1350.488545935647</v>
      </c>
      <c r="E21" s="36">
        <f>E19+E13+E6</f>
        <v>1.3188364706402802</v>
      </c>
      <c r="F21" s="36">
        <f>F19+F13+F6</f>
        <v>0.11758412461495024</v>
      </c>
      <c r="G21" s="36">
        <f>G19+G13+G6</f>
        <v>0.47770995402547567</v>
      </c>
      <c r="H21" s="36">
        <f>H19+H13+H6</f>
        <v>0</v>
      </c>
      <c r="I21" s="34"/>
      <c r="J21" s="34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</row>
    <row r="22" spans="1:10" ht="12.75">
      <c r="A22" s="3"/>
      <c r="B22" s="3"/>
      <c r="C22" s="3"/>
      <c r="D22" s="23"/>
      <c r="E22" s="23"/>
      <c r="F22" s="24"/>
      <c r="G22" s="25"/>
      <c r="H22" s="72"/>
      <c r="I22" s="73"/>
      <c r="J22" s="73"/>
    </row>
    <row r="23" spans="1:10" ht="12.75">
      <c r="A23" s="50" t="s">
        <v>278</v>
      </c>
      <c r="B23" s="50" t="s">
        <v>279</v>
      </c>
      <c r="C23" s="51" t="s">
        <v>261</v>
      </c>
      <c r="D23" s="52">
        <v>419.9891642282686</v>
      </c>
      <c r="E23" s="52">
        <f aca="true" t="shared" si="1" ref="E23:E32">D23/1024</f>
        <v>0.41014566819166853</v>
      </c>
      <c r="F23" s="15"/>
      <c r="G23" s="9"/>
      <c r="H23" s="57"/>
      <c r="I23" s="51" t="s">
        <v>262</v>
      </c>
      <c r="J23" s="51" t="s">
        <v>280</v>
      </c>
    </row>
    <row r="24" spans="1:10" ht="12.75">
      <c r="A24" s="50" t="s">
        <v>278</v>
      </c>
      <c r="B24" s="50" t="s">
        <v>281</v>
      </c>
      <c r="C24" s="51" t="s">
        <v>261</v>
      </c>
      <c r="D24" s="52">
        <v>6.568792164325706</v>
      </c>
      <c r="E24" s="52">
        <f t="shared" si="1"/>
        <v>0.006414836097974322</v>
      </c>
      <c r="F24" s="15"/>
      <c r="G24" s="9"/>
      <c r="H24" s="57"/>
      <c r="I24" s="51" t="s">
        <v>262</v>
      </c>
      <c r="J24" s="51" t="s">
        <v>280</v>
      </c>
    </row>
    <row r="25" spans="1:10" ht="12.75">
      <c r="A25" s="50" t="s">
        <v>278</v>
      </c>
      <c r="B25" s="50" t="s">
        <v>282</v>
      </c>
      <c r="C25" s="51" t="s">
        <v>261</v>
      </c>
      <c r="D25" s="52">
        <v>6.049074875720619</v>
      </c>
      <c r="E25" s="52">
        <f t="shared" si="1"/>
        <v>0.005907299683320917</v>
      </c>
      <c r="F25" s="15"/>
      <c r="G25" s="9"/>
      <c r="H25" s="57"/>
      <c r="I25" s="51" t="s">
        <v>262</v>
      </c>
      <c r="J25" s="51" t="s">
        <v>280</v>
      </c>
    </row>
    <row r="26" spans="1:10" ht="12.75">
      <c r="A26" s="50" t="s">
        <v>278</v>
      </c>
      <c r="B26" s="50" t="s">
        <v>283</v>
      </c>
      <c r="C26" s="51" t="s">
        <v>261</v>
      </c>
      <c r="D26" s="52">
        <v>2462.197091601946</v>
      </c>
      <c r="E26" s="52">
        <f t="shared" si="1"/>
        <v>2.4044893472675253</v>
      </c>
      <c r="F26" s="15"/>
      <c r="G26" s="9"/>
      <c r="H26" s="53"/>
      <c r="I26" s="51" t="s">
        <v>262</v>
      </c>
      <c r="J26" s="51" t="s">
        <v>280</v>
      </c>
    </row>
    <row r="27" spans="1:10" ht="12.75">
      <c r="A27" s="50" t="s">
        <v>278</v>
      </c>
      <c r="B27" s="50" t="s">
        <v>284</v>
      </c>
      <c r="C27" s="51" t="s">
        <v>261</v>
      </c>
      <c r="D27" s="52">
        <v>2351.5547984784785</v>
      </c>
      <c r="E27" s="52">
        <f t="shared" si="1"/>
        <v>2.296440232889139</v>
      </c>
      <c r="F27" s="15"/>
      <c r="G27" s="9"/>
      <c r="H27" s="53"/>
      <c r="I27" s="51" t="s">
        <v>262</v>
      </c>
      <c r="J27" s="51" t="s">
        <v>280</v>
      </c>
    </row>
    <row r="28" spans="1:10" ht="12.75">
      <c r="A28" s="50" t="s">
        <v>278</v>
      </c>
      <c r="B28" s="96" t="s">
        <v>295</v>
      </c>
      <c r="C28" s="51" t="s">
        <v>261</v>
      </c>
      <c r="D28" s="52">
        <v>50289.30822537357</v>
      </c>
      <c r="E28" s="52">
        <f t="shared" si="1"/>
        <v>49.11065256384138</v>
      </c>
      <c r="F28" s="15"/>
      <c r="G28" s="9"/>
      <c r="H28" s="53"/>
      <c r="I28" s="51" t="s">
        <v>262</v>
      </c>
      <c r="J28" s="51" t="s">
        <v>280</v>
      </c>
    </row>
    <row r="29" spans="1:10" ht="12.75">
      <c r="A29" s="50" t="s">
        <v>278</v>
      </c>
      <c r="B29" s="50" t="s">
        <v>296</v>
      </c>
      <c r="C29" s="51" t="s">
        <v>261</v>
      </c>
      <c r="D29" s="52">
        <v>1749.1571497321124</v>
      </c>
      <c r="E29" s="52">
        <f t="shared" si="1"/>
        <v>1.708161279035266</v>
      </c>
      <c r="F29" s="15"/>
      <c r="G29" s="9"/>
      <c r="H29" s="53"/>
      <c r="I29" s="51" t="s">
        <v>262</v>
      </c>
      <c r="J29" s="51" t="s">
        <v>280</v>
      </c>
    </row>
    <row r="30" spans="1:10" ht="12.75">
      <c r="A30" s="50" t="s">
        <v>278</v>
      </c>
      <c r="B30" s="50" t="s">
        <v>297</v>
      </c>
      <c r="C30" s="51" t="s">
        <v>298</v>
      </c>
      <c r="D30" s="52">
        <v>2480.9708115328003</v>
      </c>
      <c r="E30" s="52">
        <f t="shared" si="1"/>
        <v>2.4228230581375003</v>
      </c>
      <c r="F30" s="15"/>
      <c r="G30" s="9"/>
      <c r="H30" s="53"/>
      <c r="I30" s="51" t="s">
        <v>262</v>
      </c>
      <c r="J30" s="51" t="s">
        <v>280</v>
      </c>
    </row>
    <row r="31" spans="1:10" ht="12.75">
      <c r="A31" s="67" t="s">
        <v>278</v>
      </c>
      <c r="B31" s="67" t="s">
        <v>299</v>
      </c>
      <c r="C31" s="68" t="s">
        <v>298</v>
      </c>
      <c r="D31" s="69">
        <v>2480.961846770903</v>
      </c>
      <c r="E31" s="69">
        <f t="shared" si="1"/>
        <v>2.42281430348721</v>
      </c>
      <c r="F31" s="21"/>
      <c r="G31" s="22"/>
      <c r="H31" s="70"/>
      <c r="I31" s="68" t="s">
        <v>262</v>
      </c>
      <c r="J31" s="68" t="s">
        <v>280</v>
      </c>
    </row>
    <row r="32" spans="1:10" ht="13.5" thickBot="1">
      <c r="A32" s="58" t="s">
        <v>278</v>
      </c>
      <c r="B32" s="58" t="s">
        <v>300</v>
      </c>
      <c r="C32" s="59" t="s">
        <v>298</v>
      </c>
      <c r="D32" s="60">
        <v>2480.9882034170687</v>
      </c>
      <c r="E32" s="60">
        <f t="shared" si="1"/>
        <v>2.422840042399481</v>
      </c>
      <c r="F32" s="18"/>
      <c r="G32" s="10"/>
      <c r="H32" s="61"/>
      <c r="I32" s="59" t="s">
        <v>262</v>
      </c>
      <c r="J32" s="59" t="s">
        <v>280</v>
      </c>
    </row>
    <row r="33" spans="1:8" ht="12.75">
      <c r="A33" s="62"/>
      <c r="B33" s="62"/>
      <c r="C33" s="65" t="s">
        <v>267</v>
      </c>
      <c r="D33" s="66">
        <f>SUM(D28:D32)</f>
        <v>59481.38623682645</v>
      </c>
      <c r="E33" s="32">
        <f>SUM(E23:E32)</f>
        <v>63.21068863103046</v>
      </c>
      <c r="H33" s="63">
        <f>SUM(H23:H32)</f>
        <v>0</v>
      </c>
    </row>
    <row r="34" spans="1:5" ht="12.75">
      <c r="A34" s="62"/>
      <c r="B34" s="62"/>
      <c r="C34" s="65"/>
      <c r="D34" s="66"/>
      <c r="E34" s="32"/>
    </row>
    <row r="35" spans="1:77" s="37" customFormat="1" ht="12.75">
      <c r="A35" s="35"/>
      <c r="B35" s="35"/>
      <c r="C35" s="35" t="s">
        <v>73</v>
      </c>
      <c r="D35" s="36">
        <f>D33</f>
        <v>59481.38623682645</v>
      </c>
      <c r="E35" s="36">
        <f>E33</f>
        <v>63.21068863103046</v>
      </c>
      <c r="F35" s="36">
        <f>F33</f>
        <v>0</v>
      </c>
      <c r="G35" s="36">
        <f>G33</f>
        <v>0</v>
      </c>
      <c r="H35" s="36">
        <f>H33</f>
        <v>0</v>
      </c>
      <c r="I35" s="35"/>
      <c r="J35" s="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</row>
    <row r="36" spans="1:10" ht="12.75">
      <c r="A36" s="3"/>
      <c r="B36" s="3"/>
      <c r="C36" s="3"/>
      <c r="D36" s="23"/>
      <c r="E36" s="23"/>
      <c r="F36" s="24"/>
      <c r="G36" s="25"/>
      <c r="H36" s="72"/>
      <c r="I36" s="73"/>
      <c r="J36" s="73"/>
    </row>
    <row r="37" spans="1:10" ht="12.75">
      <c r="A37" s="50" t="s">
        <v>301</v>
      </c>
      <c r="B37" s="96" t="s">
        <v>302</v>
      </c>
      <c r="C37" s="51" t="s">
        <v>303</v>
      </c>
      <c r="D37" s="52">
        <v>3732.933236808995</v>
      </c>
      <c r="E37" s="52">
        <f aca="true" t="shared" si="2" ref="E37:E43">D37/1024</f>
        <v>3.645442614071284</v>
      </c>
      <c r="F37" s="15"/>
      <c r="G37" s="9"/>
      <c r="H37" s="38"/>
      <c r="I37" s="51" t="s">
        <v>262</v>
      </c>
      <c r="J37" s="51" t="s">
        <v>304</v>
      </c>
    </row>
    <row r="38" spans="1:10" ht="12.75">
      <c r="A38" s="50" t="s">
        <v>301</v>
      </c>
      <c r="B38" s="96" t="s">
        <v>311</v>
      </c>
      <c r="C38" s="51" t="s">
        <v>303</v>
      </c>
      <c r="D38" s="52">
        <v>3164.7951196911417</v>
      </c>
      <c r="E38" s="52">
        <f t="shared" si="2"/>
        <v>3.0906202340733806</v>
      </c>
      <c r="F38" s="15"/>
      <c r="G38" s="9"/>
      <c r="H38" s="38"/>
      <c r="I38" s="51" t="s">
        <v>262</v>
      </c>
      <c r="J38" s="51" t="s">
        <v>304</v>
      </c>
    </row>
    <row r="39" spans="1:10" ht="12.75">
      <c r="A39" s="50" t="s">
        <v>301</v>
      </c>
      <c r="B39" s="96" t="s">
        <v>315</v>
      </c>
      <c r="C39" s="51" t="s">
        <v>303</v>
      </c>
      <c r="D39" s="52">
        <v>1341.931735213132</v>
      </c>
      <c r="E39" s="52">
        <f t="shared" si="2"/>
        <v>1.3104802101690742</v>
      </c>
      <c r="F39" s="15"/>
      <c r="G39" s="9"/>
      <c r="H39" s="38"/>
      <c r="I39" s="51" t="s">
        <v>262</v>
      </c>
      <c r="J39" s="51" t="s">
        <v>304</v>
      </c>
    </row>
    <row r="40" spans="1:10" ht="12.75">
      <c r="A40" s="50" t="s">
        <v>301</v>
      </c>
      <c r="B40" s="96" t="s">
        <v>316</v>
      </c>
      <c r="C40" s="51" t="s">
        <v>303</v>
      </c>
      <c r="D40" s="52">
        <v>1142.5826076221026</v>
      </c>
      <c r="E40" s="52">
        <f t="shared" si="2"/>
        <v>1.1158033277559596</v>
      </c>
      <c r="F40" s="15"/>
      <c r="G40" s="9"/>
      <c r="H40" s="38"/>
      <c r="I40" s="51" t="s">
        <v>262</v>
      </c>
      <c r="J40" s="51" t="s">
        <v>304</v>
      </c>
    </row>
    <row r="41" spans="1:10" ht="12.75">
      <c r="A41" s="50" t="s">
        <v>301</v>
      </c>
      <c r="B41" s="96" t="s">
        <v>317</v>
      </c>
      <c r="C41" s="51" t="s">
        <v>303</v>
      </c>
      <c r="D41" s="52">
        <v>6090.49816118281</v>
      </c>
      <c r="E41" s="52">
        <f t="shared" si="2"/>
        <v>5.947752110530088</v>
      </c>
      <c r="F41" s="15"/>
      <c r="G41" s="9"/>
      <c r="H41" s="38"/>
      <c r="I41" s="51" t="s">
        <v>262</v>
      </c>
      <c r="J41" s="51" t="s">
        <v>304</v>
      </c>
    </row>
    <row r="42" spans="1:10" ht="13.5" thickBot="1">
      <c r="A42" s="58" t="s">
        <v>301</v>
      </c>
      <c r="B42" s="97" t="s">
        <v>21</v>
      </c>
      <c r="C42" s="59" t="s">
        <v>303</v>
      </c>
      <c r="D42" s="60">
        <v>20592.229961072706</v>
      </c>
      <c r="E42" s="60">
        <f t="shared" si="2"/>
        <v>20.109599571360064</v>
      </c>
      <c r="F42" s="18"/>
      <c r="G42" s="10"/>
      <c r="H42" s="39"/>
      <c r="I42" s="59" t="s">
        <v>262</v>
      </c>
      <c r="J42" s="59" t="s">
        <v>304</v>
      </c>
    </row>
    <row r="43" spans="1:5" ht="12.75">
      <c r="A43" s="62"/>
      <c r="B43" s="62"/>
      <c r="C43" s="65" t="s">
        <v>267</v>
      </c>
      <c r="D43" s="66">
        <f>SUM(D37:D42)</f>
        <v>36064.97082159088</v>
      </c>
      <c r="E43" s="74">
        <f t="shared" si="2"/>
        <v>35.21969806795985</v>
      </c>
    </row>
    <row r="45" spans="1:10" ht="12.75">
      <c r="A45" s="50" t="s">
        <v>22</v>
      </c>
      <c r="B45" s="50" t="s">
        <v>273</v>
      </c>
      <c r="C45" s="51" t="s">
        <v>303</v>
      </c>
      <c r="D45" s="52">
        <v>8.34739165289836</v>
      </c>
      <c r="E45" s="52">
        <f aca="true" t="shared" si="3" ref="E45:E56">D45/1024</f>
        <v>0.008151749661033554</v>
      </c>
      <c r="F45" s="15">
        <f>E45</f>
        <v>0.008151749661033554</v>
      </c>
      <c r="G45" s="9"/>
      <c r="H45" s="38"/>
      <c r="I45" s="51" t="s">
        <v>262</v>
      </c>
      <c r="J45" s="51" t="s">
        <v>304</v>
      </c>
    </row>
    <row r="46" spans="1:10" ht="12.75">
      <c r="A46" s="50" t="s">
        <v>22</v>
      </c>
      <c r="B46" s="50" t="s">
        <v>23</v>
      </c>
      <c r="C46" s="51" t="s">
        <v>303</v>
      </c>
      <c r="D46" s="52">
        <v>7.880851316289473</v>
      </c>
      <c r="E46" s="52">
        <f t="shared" si="3"/>
        <v>0.007696143863563938</v>
      </c>
      <c r="F46" s="15"/>
      <c r="G46" s="9"/>
      <c r="H46" s="38"/>
      <c r="I46" s="51" t="s">
        <v>262</v>
      </c>
      <c r="J46" s="51" t="s">
        <v>304</v>
      </c>
    </row>
    <row r="47" spans="1:10" ht="12.75">
      <c r="A47" s="50" t="s">
        <v>22</v>
      </c>
      <c r="B47" s="96" t="s">
        <v>24</v>
      </c>
      <c r="C47" s="51" t="s">
        <v>303</v>
      </c>
      <c r="D47" s="52">
        <v>28148.045729116224</v>
      </c>
      <c r="E47" s="52">
        <f t="shared" si="3"/>
        <v>27.488325907340062</v>
      </c>
      <c r="F47" s="15">
        <f>E47</f>
        <v>27.488325907340062</v>
      </c>
      <c r="G47" s="9"/>
      <c r="H47" s="38"/>
      <c r="I47" s="51" t="s">
        <v>262</v>
      </c>
      <c r="J47" s="51" t="s">
        <v>304</v>
      </c>
    </row>
    <row r="48" spans="1:10" ht="12.75">
      <c r="A48" s="50" t="s">
        <v>22</v>
      </c>
      <c r="B48" s="96" t="s">
        <v>188</v>
      </c>
      <c r="C48" s="51" t="s">
        <v>303</v>
      </c>
      <c r="D48" s="52">
        <v>28816.408914340558</v>
      </c>
      <c r="E48" s="52">
        <f t="shared" si="3"/>
        <v>28.1410243304107</v>
      </c>
      <c r="F48" s="15"/>
      <c r="G48" s="9"/>
      <c r="H48" s="38"/>
      <c r="I48" s="51" t="s">
        <v>262</v>
      </c>
      <c r="J48" s="51" t="s">
        <v>304</v>
      </c>
    </row>
    <row r="49" spans="1:10" ht="12.75">
      <c r="A49" s="50" t="s">
        <v>22</v>
      </c>
      <c r="B49" s="96" t="s">
        <v>189</v>
      </c>
      <c r="C49" s="51" t="s">
        <v>303</v>
      </c>
      <c r="D49" s="52">
        <v>27342.49510340747</v>
      </c>
      <c r="E49" s="52">
        <f t="shared" si="3"/>
        <v>26.701655374421357</v>
      </c>
      <c r="F49" s="15">
        <f>E49</f>
        <v>26.701655374421357</v>
      </c>
      <c r="G49" s="9"/>
      <c r="H49" s="38"/>
      <c r="I49" s="51" t="s">
        <v>262</v>
      </c>
      <c r="J49" s="51" t="s">
        <v>304</v>
      </c>
    </row>
    <row r="50" spans="1:10" ht="12.75">
      <c r="A50" s="50" t="s">
        <v>22</v>
      </c>
      <c r="B50" s="96" t="s">
        <v>190</v>
      </c>
      <c r="C50" s="51" t="s">
        <v>303</v>
      </c>
      <c r="D50" s="52">
        <v>35204.77004323541</v>
      </c>
      <c r="E50" s="52">
        <f t="shared" si="3"/>
        <v>34.37965824534708</v>
      </c>
      <c r="F50" s="15"/>
      <c r="G50" s="9"/>
      <c r="H50" s="38"/>
      <c r="I50" s="51" t="s">
        <v>262</v>
      </c>
      <c r="J50" s="51" t="s">
        <v>304</v>
      </c>
    </row>
    <row r="51" spans="1:10" ht="12.75">
      <c r="A51" s="50" t="s">
        <v>22</v>
      </c>
      <c r="B51" s="96" t="s">
        <v>191</v>
      </c>
      <c r="C51" s="51" t="s">
        <v>303</v>
      </c>
      <c r="D51" s="52">
        <v>878.5248413728458</v>
      </c>
      <c r="E51" s="52">
        <f t="shared" si="3"/>
        <v>0.8579344154031697</v>
      </c>
      <c r="F51" s="15"/>
      <c r="G51" s="9"/>
      <c r="H51" s="38"/>
      <c r="I51" s="51" t="s">
        <v>262</v>
      </c>
      <c r="J51" s="51" t="s">
        <v>304</v>
      </c>
    </row>
    <row r="52" spans="1:10" ht="12.75">
      <c r="A52" s="50" t="s">
        <v>22</v>
      </c>
      <c r="B52" s="96" t="s">
        <v>192</v>
      </c>
      <c r="C52" s="51" t="s">
        <v>303</v>
      </c>
      <c r="D52" s="52">
        <v>622.244525258085</v>
      </c>
      <c r="E52" s="52">
        <f t="shared" si="3"/>
        <v>0.6076606691973486</v>
      </c>
      <c r="F52" s="15"/>
      <c r="G52" s="9"/>
      <c r="H52" s="38"/>
      <c r="I52" s="51" t="s">
        <v>262</v>
      </c>
      <c r="J52" s="51" t="s">
        <v>304</v>
      </c>
    </row>
    <row r="53" spans="1:10" ht="12.75">
      <c r="A53" s="50" t="s">
        <v>22</v>
      </c>
      <c r="B53" s="96" t="s">
        <v>193</v>
      </c>
      <c r="C53" s="51" t="s">
        <v>303</v>
      </c>
      <c r="D53" s="52">
        <v>581.6055692315658</v>
      </c>
      <c r="E53" s="52">
        <f t="shared" si="3"/>
        <v>0.567974188702701</v>
      </c>
      <c r="F53" s="15"/>
      <c r="G53" s="9"/>
      <c r="H53" s="38"/>
      <c r="I53" s="51" t="s">
        <v>262</v>
      </c>
      <c r="J53" s="51" t="s">
        <v>304</v>
      </c>
    </row>
    <row r="54" spans="1:10" ht="12.75">
      <c r="A54" s="50" t="s">
        <v>22</v>
      </c>
      <c r="B54" s="96" t="s">
        <v>194</v>
      </c>
      <c r="C54" s="51" t="s">
        <v>303</v>
      </c>
      <c r="D54" s="69">
        <v>4094.6505103223058</v>
      </c>
      <c r="E54" s="52">
        <f t="shared" si="3"/>
        <v>3.9986821389866267</v>
      </c>
      <c r="F54" s="15"/>
      <c r="G54" s="9"/>
      <c r="H54" s="38"/>
      <c r="I54" s="51" t="s">
        <v>262</v>
      </c>
      <c r="J54" s="51" t="s">
        <v>304</v>
      </c>
    </row>
    <row r="55" spans="1:10" ht="13.5" thickBot="1">
      <c r="A55" s="58" t="s">
        <v>22</v>
      </c>
      <c r="B55" s="97" t="s">
        <v>195</v>
      </c>
      <c r="C55" s="103" t="s">
        <v>303</v>
      </c>
      <c r="D55" s="60">
        <v>4094.6505103223058</v>
      </c>
      <c r="E55" s="78">
        <f t="shared" si="3"/>
        <v>3.9986821389866267</v>
      </c>
      <c r="F55" s="18"/>
      <c r="G55" s="10"/>
      <c r="H55" s="39"/>
      <c r="I55" s="59" t="s">
        <v>262</v>
      </c>
      <c r="J55" s="59" t="s">
        <v>304</v>
      </c>
    </row>
    <row r="56" spans="1:8" ht="12.75">
      <c r="A56" s="62"/>
      <c r="B56" s="62"/>
      <c r="C56" s="65" t="s">
        <v>267</v>
      </c>
      <c r="D56" s="66">
        <f>SUM(D45:D55)</f>
        <v>129799.62398957595</v>
      </c>
      <c r="E56" s="32">
        <f t="shared" si="3"/>
        <v>126.75744530232026</v>
      </c>
      <c r="F56" s="19">
        <f>SUM(F45:F55)</f>
        <v>54.19813303142246</v>
      </c>
      <c r="H56" s="63">
        <f>SUM(H45:H55)</f>
        <v>0</v>
      </c>
    </row>
    <row r="57" spans="1:2" ht="12.75">
      <c r="A57" s="62"/>
      <c r="B57" s="62"/>
    </row>
    <row r="58" spans="1:10" ht="13.5" thickBot="1">
      <c r="A58" s="58" t="s">
        <v>196</v>
      </c>
      <c r="B58" s="97" t="s">
        <v>197</v>
      </c>
      <c r="C58" s="59" t="s">
        <v>303</v>
      </c>
      <c r="D58" s="60">
        <v>1952.5363280839827</v>
      </c>
      <c r="E58" s="60">
        <f>D58/1024</f>
        <v>1.9067737578945143</v>
      </c>
      <c r="F58" s="18"/>
      <c r="G58" s="10"/>
      <c r="H58" s="61"/>
      <c r="I58" s="59" t="s">
        <v>262</v>
      </c>
      <c r="J58" s="59" t="s">
        <v>304</v>
      </c>
    </row>
    <row r="59" spans="1:5" ht="12.75">
      <c r="A59" s="62"/>
      <c r="B59" s="62"/>
      <c r="C59" s="65" t="s">
        <v>267</v>
      </c>
      <c r="D59" s="66">
        <f>D58</f>
        <v>1952.5363280839827</v>
      </c>
      <c r="E59" s="32">
        <f>D59/1024</f>
        <v>1.9067737578945143</v>
      </c>
    </row>
    <row r="61" spans="1:10" ht="12.75">
      <c r="A61" s="50" t="s">
        <v>198</v>
      </c>
      <c r="B61" s="96" t="s">
        <v>199</v>
      </c>
      <c r="C61" s="51" t="s">
        <v>303</v>
      </c>
      <c r="D61" s="52">
        <v>9420.396795033757</v>
      </c>
      <c r="E61" s="52">
        <f>D61/1024</f>
        <v>9.199606245150154</v>
      </c>
      <c r="F61" s="15"/>
      <c r="G61" s="9"/>
      <c r="H61" s="53"/>
      <c r="I61" s="51" t="s">
        <v>262</v>
      </c>
      <c r="J61" s="51" t="s">
        <v>304</v>
      </c>
    </row>
    <row r="62" spans="1:10" ht="13.5" thickBot="1">
      <c r="A62" s="58" t="s">
        <v>198</v>
      </c>
      <c r="B62" s="97" t="s">
        <v>200</v>
      </c>
      <c r="C62" s="59" t="s">
        <v>303</v>
      </c>
      <c r="D62" s="60">
        <v>724.7696163462462</v>
      </c>
      <c r="E62" s="60">
        <f>D62/1024</f>
        <v>0.707782828463131</v>
      </c>
      <c r="F62" s="18"/>
      <c r="G62" s="10"/>
      <c r="H62" s="61"/>
      <c r="I62" s="59" t="s">
        <v>262</v>
      </c>
      <c r="J62" s="59" t="s">
        <v>304</v>
      </c>
    </row>
    <row r="63" spans="1:5" ht="12.75">
      <c r="A63" s="62"/>
      <c r="B63" s="62"/>
      <c r="C63" s="65" t="s">
        <v>267</v>
      </c>
      <c r="D63" s="66">
        <f>SUM(D61:D62)</f>
        <v>10145.166411380003</v>
      </c>
      <c r="E63" s="32">
        <f>D63/1024</f>
        <v>9.907389073613285</v>
      </c>
    </row>
    <row r="65" spans="1:10" ht="12.75">
      <c r="A65" s="1" t="s">
        <v>201</v>
      </c>
      <c r="B65" s="98" t="s">
        <v>202</v>
      </c>
      <c r="C65" s="2" t="s">
        <v>303</v>
      </c>
      <c r="D65" s="26">
        <v>329.79449090851097</v>
      </c>
      <c r="E65" s="52">
        <f>D65/1024</f>
        <v>0.32206493252784274</v>
      </c>
      <c r="F65" s="15"/>
      <c r="G65" s="9"/>
      <c r="H65" s="53"/>
      <c r="I65" s="51" t="s">
        <v>262</v>
      </c>
      <c r="J65" s="51" t="s">
        <v>304</v>
      </c>
    </row>
    <row r="66" spans="1:10" ht="13.5" thickBot="1">
      <c r="A66" s="7" t="s">
        <v>201</v>
      </c>
      <c r="B66" s="99" t="s">
        <v>203</v>
      </c>
      <c r="C66" s="6" t="s">
        <v>303</v>
      </c>
      <c r="D66" s="27">
        <v>34.632858565119015</v>
      </c>
      <c r="E66" s="60">
        <f>D66/1024</f>
        <v>0.03382115094249904</v>
      </c>
      <c r="F66" s="18"/>
      <c r="G66" s="10"/>
      <c r="H66" s="61"/>
      <c r="I66" s="59" t="s">
        <v>262</v>
      </c>
      <c r="J66" s="59" t="s">
        <v>304</v>
      </c>
    </row>
    <row r="67" spans="1:5" ht="12.75">
      <c r="A67" s="62"/>
      <c r="B67" s="62"/>
      <c r="C67" s="65" t="s">
        <v>267</v>
      </c>
      <c r="D67" s="66">
        <f>SUM(D65:D66)</f>
        <v>364.42734947363</v>
      </c>
      <c r="E67" s="32">
        <f>D67/1024</f>
        <v>0.3558860834703418</v>
      </c>
    </row>
    <row r="69" spans="1:10" ht="12.75">
      <c r="A69" s="50" t="s">
        <v>204</v>
      </c>
      <c r="B69" s="50" t="s">
        <v>205</v>
      </c>
      <c r="C69" s="51" t="s">
        <v>303</v>
      </c>
      <c r="D69" s="52">
        <v>4.649456810331358</v>
      </c>
      <c r="E69" s="52">
        <f>D69/1024</f>
        <v>0.004540485166339217</v>
      </c>
      <c r="F69" s="15"/>
      <c r="G69" s="9"/>
      <c r="H69" s="38"/>
      <c r="I69" s="51" t="s">
        <v>262</v>
      </c>
      <c r="J69" s="51" t="s">
        <v>304</v>
      </c>
    </row>
    <row r="70" spans="1:10" ht="12.75">
      <c r="A70" s="50" t="s">
        <v>204</v>
      </c>
      <c r="B70" s="96" t="s">
        <v>206</v>
      </c>
      <c r="C70" s="51" t="s">
        <v>303</v>
      </c>
      <c r="D70" s="52">
        <v>87.07129689831228</v>
      </c>
      <c r="E70" s="52">
        <f>D70/1024</f>
        <v>0.08503056337725809</v>
      </c>
      <c r="F70" s="15"/>
      <c r="G70" s="9">
        <f>E70</f>
        <v>0.08503056337725809</v>
      </c>
      <c r="H70" s="38"/>
      <c r="I70" s="51" t="s">
        <v>262</v>
      </c>
      <c r="J70" s="51" t="s">
        <v>304</v>
      </c>
    </row>
    <row r="71" spans="1:10" ht="13.5" thickBot="1">
      <c r="A71" s="58" t="s">
        <v>204</v>
      </c>
      <c r="B71" s="58" t="s">
        <v>273</v>
      </c>
      <c r="C71" s="59" t="s">
        <v>303</v>
      </c>
      <c r="D71" s="60">
        <v>5.0934952014446395</v>
      </c>
      <c r="E71" s="60">
        <f>D71/1024</f>
        <v>0.004974116407660781</v>
      </c>
      <c r="F71" s="18"/>
      <c r="G71" s="10">
        <f>E71</f>
        <v>0.004974116407660781</v>
      </c>
      <c r="H71" s="61"/>
      <c r="I71" s="59" t="s">
        <v>262</v>
      </c>
      <c r="J71" s="59" t="s">
        <v>304</v>
      </c>
    </row>
    <row r="72" spans="1:8" ht="12.75">
      <c r="A72" s="62"/>
      <c r="B72" s="62"/>
      <c r="C72" s="65" t="s">
        <v>267</v>
      </c>
      <c r="D72" s="66">
        <f>SUM(D69:D71)</f>
        <v>96.81424891008828</v>
      </c>
      <c r="E72" s="32">
        <f>D72/1024</f>
        <v>0.09454516495125809</v>
      </c>
      <c r="G72" s="20">
        <f>SUM(G69:G71)</f>
        <v>0.09000467978491887</v>
      </c>
      <c r="H72" s="63">
        <f>SUM(H69:H71)</f>
        <v>0</v>
      </c>
    </row>
    <row r="74" spans="1:10" ht="13.5" thickBot="1">
      <c r="A74" s="58" t="s">
        <v>207</v>
      </c>
      <c r="B74" s="97" t="s">
        <v>208</v>
      </c>
      <c r="C74" s="59" t="s">
        <v>303</v>
      </c>
      <c r="D74" s="60">
        <v>5827.820729591104</v>
      </c>
      <c r="E74" s="60">
        <f>D74/1024</f>
        <v>5.691231181241313</v>
      </c>
      <c r="F74" s="18"/>
      <c r="G74" s="10"/>
      <c r="H74" s="61"/>
      <c r="I74" s="59" t="s">
        <v>262</v>
      </c>
      <c r="J74" s="59" t="s">
        <v>304</v>
      </c>
    </row>
    <row r="75" spans="1:5" ht="12.75">
      <c r="A75" s="62"/>
      <c r="B75" s="62"/>
      <c r="C75" s="5" t="s">
        <v>209</v>
      </c>
      <c r="D75" s="32">
        <f>D74</f>
        <v>5827.820729591104</v>
      </c>
      <c r="E75" s="32">
        <f>D75/1024</f>
        <v>5.691231181241313</v>
      </c>
    </row>
    <row r="77" spans="1:77" s="37" customFormat="1" ht="12.75">
      <c r="A77" s="35"/>
      <c r="B77" s="35"/>
      <c r="C77" s="35" t="s">
        <v>74</v>
      </c>
      <c r="D77" s="36">
        <f>D75+D72+D67+D63+D59+D56+D43</f>
        <v>184251.35987860564</v>
      </c>
      <c r="E77" s="36">
        <f>E75+E72+E67+E63+E59+E56+E43</f>
        <v>179.93296863145082</v>
      </c>
      <c r="F77" s="36">
        <f>F75+F72+F67+F63+F59+F56+F43</f>
        <v>54.19813303142246</v>
      </c>
      <c r="G77" s="36">
        <f>G75+G72+G67+G63+G59+G56+G43</f>
        <v>0.09000467978491887</v>
      </c>
      <c r="H77" s="36">
        <f>H75+H72+H67+H63+H59+H56+H43</f>
        <v>0</v>
      </c>
      <c r="I77" s="35"/>
      <c r="J77" s="35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</row>
    <row r="78" spans="1:5" ht="12.75">
      <c r="A78" s="8"/>
      <c r="B78" s="8"/>
      <c r="C78" s="8"/>
      <c r="D78" s="30"/>
      <c r="E78" s="30"/>
    </row>
    <row r="79" spans="1:10" ht="12.75">
      <c r="A79" s="50" t="s">
        <v>301</v>
      </c>
      <c r="B79" s="96" t="s">
        <v>312</v>
      </c>
      <c r="C79" s="51" t="s">
        <v>303</v>
      </c>
      <c r="D79" s="52">
        <v>2532.740806997232</v>
      </c>
      <c r="E79" s="52">
        <f>D79/1024</f>
        <v>2.4733796943332345</v>
      </c>
      <c r="F79" s="15"/>
      <c r="G79" s="9"/>
      <c r="H79" s="53"/>
      <c r="I79" s="51" t="s">
        <v>262</v>
      </c>
      <c r="J79" s="51" t="s">
        <v>313</v>
      </c>
    </row>
    <row r="80" spans="1:10" ht="12.75">
      <c r="A80" s="50" t="s">
        <v>301</v>
      </c>
      <c r="B80" s="96" t="s">
        <v>314</v>
      </c>
      <c r="C80" s="51" t="s">
        <v>303</v>
      </c>
      <c r="D80" s="52">
        <v>2564.1762505476927</v>
      </c>
      <c r="E80" s="52">
        <f>D80/1024</f>
        <v>2.504078369675481</v>
      </c>
      <c r="F80" s="15"/>
      <c r="G80" s="9"/>
      <c r="H80" s="53"/>
      <c r="I80" s="51" t="s">
        <v>262</v>
      </c>
      <c r="J80" s="51" t="s">
        <v>313</v>
      </c>
    </row>
    <row r="81" spans="1:10" ht="12.75">
      <c r="A81" s="50" t="s">
        <v>301</v>
      </c>
      <c r="B81" s="96" t="s">
        <v>19</v>
      </c>
      <c r="C81" s="51" t="s">
        <v>303</v>
      </c>
      <c r="D81" s="52">
        <v>985.3165529124102</v>
      </c>
      <c r="E81" s="52">
        <f>D81/1024</f>
        <v>0.9622231962035256</v>
      </c>
      <c r="F81" s="15"/>
      <c r="G81" s="9"/>
      <c r="H81" s="53"/>
      <c r="I81" s="51" t="s">
        <v>262</v>
      </c>
      <c r="J81" s="51" t="s">
        <v>313</v>
      </c>
    </row>
    <row r="82" spans="1:10" ht="13.5" thickBot="1">
      <c r="A82" s="58" t="s">
        <v>301</v>
      </c>
      <c r="B82" s="97" t="s">
        <v>20</v>
      </c>
      <c r="C82" s="59" t="s">
        <v>303</v>
      </c>
      <c r="D82" s="60">
        <v>1013.2058356418153</v>
      </c>
      <c r="E82" s="60">
        <f>D82/1024</f>
        <v>0.9894588238689602</v>
      </c>
      <c r="F82" s="18"/>
      <c r="G82" s="10"/>
      <c r="H82" s="61"/>
      <c r="I82" s="59" t="s">
        <v>262</v>
      </c>
      <c r="J82" s="59" t="s">
        <v>313</v>
      </c>
    </row>
    <row r="83" spans="1:5" ht="12.75">
      <c r="A83" s="62"/>
      <c r="B83" s="62"/>
      <c r="C83" s="65" t="s">
        <v>209</v>
      </c>
      <c r="D83" s="66">
        <f>SUM(D79:D82)</f>
        <v>7095.43944609915</v>
      </c>
      <c r="E83" s="32">
        <f>D83/1024</f>
        <v>6.929140084081201</v>
      </c>
    </row>
    <row r="85" spans="1:10" ht="12.75">
      <c r="A85" s="50" t="s">
        <v>210</v>
      </c>
      <c r="B85" s="96" t="s">
        <v>211</v>
      </c>
      <c r="C85" s="51" t="s">
        <v>303</v>
      </c>
      <c r="D85" s="52">
        <v>357.1510458877182</v>
      </c>
      <c r="E85" s="52">
        <f>D85/1024</f>
        <v>0.34878031824972483</v>
      </c>
      <c r="F85" s="15"/>
      <c r="G85" s="9"/>
      <c r="H85" s="53"/>
      <c r="I85" s="51" t="s">
        <v>262</v>
      </c>
      <c r="J85" s="51" t="s">
        <v>313</v>
      </c>
    </row>
    <row r="86" spans="1:10" ht="13.5" thickBot="1">
      <c r="A86" s="58" t="s">
        <v>210</v>
      </c>
      <c r="B86" s="97" t="s">
        <v>212</v>
      </c>
      <c r="C86" s="59" t="s">
        <v>303</v>
      </c>
      <c r="D86" s="60">
        <v>343.4466653754231</v>
      </c>
      <c r="E86" s="60">
        <f>D86/1024</f>
        <v>0.3353971341556866</v>
      </c>
      <c r="F86" s="18"/>
      <c r="G86" s="10"/>
      <c r="H86" s="61"/>
      <c r="I86" s="59" t="s">
        <v>262</v>
      </c>
      <c r="J86" s="59" t="s">
        <v>313</v>
      </c>
    </row>
    <row r="87" spans="1:5" ht="12.75">
      <c r="A87" s="62"/>
      <c r="B87" s="62"/>
      <c r="C87" s="5" t="s">
        <v>209</v>
      </c>
      <c r="D87" s="32">
        <f>SUM(D85:D86)</f>
        <v>700.5977112631413</v>
      </c>
      <c r="E87" s="32">
        <f>D87/1024</f>
        <v>0.6841774524054114</v>
      </c>
    </row>
    <row r="89" spans="1:10" ht="12.75">
      <c r="A89" s="50" t="s">
        <v>213</v>
      </c>
      <c r="B89" s="50" t="s">
        <v>214</v>
      </c>
      <c r="C89" s="51" t="s">
        <v>303</v>
      </c>
      <c r="D89" s="52">
        <v>3.359604887293473</v>
      </c>
      <c r="E89" s="52">
        <f aca="true" t="shared" si="4" ref="E89:E95">D89/1024</f>
        <v>0.003280864147747532</v>
      </c>
      <c r="F89" s="15"/>
      <c r="G89" s="9"/>
      <c r="H89" s="53"/>
      <c r="I89" s="51" t="s">
        <v>262</v>
      </c>
      <c r="J89" s="51" t="s">
        <v>313</v>
      </c>
    </row>
    <row r="90" spans="1:10" ht="12.75">
      <c r="A90" s="50" t="s">
        <v>213</v>
      </c>
      <c r="B90" s="50" t="s">
        <v>215</v>
      </c>
      <c r="C90" s="51" t="s">
        <v>303</v>
      </c>
      <c r="D90" s="52">
        <v>4.797132910338222</v>
      </c>
      <c r="E90" s="52">
        <f t="shared" si="4"/>
        <v>0.00468470010775217</v>
      </c>
      <c r="F90" s="15"/>
      <c r="G90" s="9"/>
      <c r="H90" s="53"/>
      <c r="I90" s="51" t="s">
        <v>262</v>
      </c>
      <c r="J90" s="51" t="s">
        <v>313</v>
      </c>
    </row>
    <row r="91" spans="1:10" ht="12.75">
      <c r="A91" s="50" t="s">
        <v>213</v>
      </c>
      <c r="B91" s="50" t="s">
        <v>216</v>
      </c>
      <c r="C91" s="51" t="s">
        <v>303</v>
      </c>
      <c r="D91" s="52">
        <v>5.414426334760595</v>
      </c>
      <c r="E91" s="52">
        <f t="shared" si="4"/>
        <v>0.0052875257175396435</v>
      </c>
      <c r="F91" s="15"/>
      <c r="G91" s="9"/>
      <c r="H91" s="53"/>
      <c r="I91" s="51" t="s">
        <v>262</v>
      </c>
      <c r="J91" s="51" t="s">
        <v>313</v>
      </c>
    </row>
    <row r="92" spans="1:10" ht="12.75">
      <c r="A92" s="50" t="s">
        <v>213</v>
      </c>
      <c r="B92" s="96" t="s">
        <v>217</v>
      </c>
      <c r="C92" s="51" t="s">
        <v>303</v>
      </c>
      <c r="D92" s="52">
        <v>42.824551281808716</v>
      </c>
      <c r="E92" s="52">
        <f t="shared" si="4"/>
        <v>0.041820850861141325</v>
      </c>
      <c r="F92" s="15"/>
      <c r="G92" s="9">
        <f>E92</f>
        <v>0.041820850861141325</v>
      </c>
      <c r="H92" s="53"/>
      <c r="I92" s="51" t="s">
        <v>262</v>
      </c>
      <c r="J92" s="51" t="s">
        <v>313</v>
      </c>
    </row>
    <row r="93" spans="1:10" ht="12.75">
      <c r="A93" s="50" t="s">
        <v>213</v>
      </c>
      <c r="B93" s="96" t="s">
        <v>218</v>
      </c>
      <c r="C93" s="51" t="s">
        <v>303</v>
      </c>
      <c r="D93" s="52">
        <v>49.352756763305365</v>
      </c>
      <c r="E93" s="52">
        <f t="shared" si="4"/>
        <v>0.048196051526665395</v>
      </c>
      <c r="F93" s="15"/>
      <c r="G93" s="9">
        <f>E93</f>
        <v>0.048196051526665395</v>
      </c>
      <c r="H93" s="53"/>
      <c r="I93" s="51" t="s">
        <v>262</v>
      </c>
      <c r="J93" s="51" t="s">
        <v>313</v>
      </c>
    </row>
    <row r="94" spans="1:10" ht="13.5" thickBot="1">
      <c r="A94" s="58" t="s">
        <v>213</v>
      </c>
      <c r="B94" s="58" t="s">
        <v>273</v>
      </c>
      <c r="C94" s="59" t="s">
        <v>303</v>
      </c>
      <c r="D94" s="60">
        <v>14.163897163995033</v>
      </c>
      <c r="E94" s="60">
        <f t="shared" si="4"/>
        <v>0.0138319308242139</v>
      </c>
      <c r="F94" s="18"/>
      <c r="G94" s="10">
        <f>E94</f>
        <v>0.0138319308242139</v>
      </c>
      <c r="H94" s="61" t="s">
        <v>122</v>
      </c>
      <c r="I94" s="59" t="s">
        <v>262</v>
      </c>
      <c r="J94" s="59" t="s">
        <v>313</v>
      </c>
    </row>
    <row r="95" spans="1:8" ht="12.75">
      <c r="A95" s="62"/>
      <c r="B95" s="62"/>
      <c r="C95" s="65" t="s">
        <v>267</v>
      </c>
      <c r="D95" s="66">
        <f>SUM(D89:D94)</f>
        <v>119.9123693415014</v>
      </c>
      <c r="E95" s="32">
        <f t="shared" si="4"/>
        <v>0.11710192318505996</v>
      </c>
      <c r="G95" s="20">
        <f>SUM(G89:G94)</f>
        <v>0.10384883321202061</v>
      </c>
      <c r="H95" s="63">
        <f>SUM(H89:H94)</f>
        <v>0</v>
      </c>
    </row>
    <row r="97" spans="1:77" s="37" customFormat="1" ht="12.75">
      <c r="A97" s="35"/>
      <c r="B97" s="35"/>
      <c r="C97" s="35" t="s">
        <v>75</v>
      </c>
      <c r="D97" s="36">
        <f>D95+D87+D83</f>
        <v>7915.949526703793</v>
      </c>
      <c r="E97" s="36">
        <f>E95+E87+E83</f>
        <v>7.730419459671673</v>
      </c>
      <c r="F97" s="36">
        <f>F95+F87+F83</f>
        <v>0</v>
      </c>
      <c r="G97" s="36">
        <f>G95+G87+G83</f>
        <v>0.10384883321202061</v>
      </c>
      <c r="H97" s="36">
        <f>H95+H87+H83</f>
        <v>0</v>
      </c>
      <c r="I97" s="35"/>
      <c r="J97" s="35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</row>
    <row r="98" spans="1:5" ht="12.75">
      <c r="A98" s="8"/>
      <c r="B98" s="8"/>
      <c r="C98" s="8"/>
      <c r="D98" s="30"/>
      <c r="E98" s="30"/>
    </row>
    <row r="99" spans="1:10" ht="12.75">
      <c r="A99" s="50" t="s">
        <v>219</v>
      </c>
      <c r="B99" s="50" t="s">
        <v>220</v>
      </c>
      <c r="C99" s="51" t="s">
        <v>261</v>
      </c>
      <c r="D99" s="52">
        <v>8.890289432443565</v>
      </c>
      <c r="E99" s="52">
        <f aca="true" t="shared" si="5" ref="E99:E111">D99/1024</f>
        <v>0.008681923273870669</v>
      </c>
      <c r="F99" s="15"/>
      <c r="G99" s="9"/>
      <c r="H99" s="53"/>
      <c r="I99" s="51" t="s">
        <v>262</v>
      </c>
      <c r="J99" s="51" t="s">
        <v>221</v>
      </c>
    </row>
    <row r="100" spans="1:10" ht="12.75">
      <c r="A100" s="50" t="s">
        <v>219</v>
      </c>
      <c r="B100" s="50" t="s">
        <v>222</v>
      </c>
      <c r="C100" s="51" t="s">
        <v>303</v>
      </c>
      <c r="D100" s="52">
        <v>3.9533660411834606</v>
      </c>
      <c r="E100" s="52">
        <f t="shared" si="5"/>
        <v>0.0038607090245932232</v>
      </c>
      <c r="F100" s="15"/>
      <c r="G100" s="9"/>
      <c r="H100" s="53"/>
      <c r="I100" s="51" t="s">
        <v>262</v>
      </c>
      <c r="J100" s="51" t="s">
        <v>309</v>
      </c>
    </row>
    <row r="101" spans="1:10" ht="12.75">
      <c r="A101" s="50" t="s">
        <v>219</v>
      </c>
      <c r="B101" s="50" t="s">
        <v>223</v>
      </c>
      <c r="C101" s="51" t="s">
        <v>303</v>
      </c>
      <c r="D101" s="52">
        <v>4.022969067096702</v>
      </c>
      <c r="E101" s="52">
        <f t="shared" si="5"/>
        <v>0.003928680729586623</v>
      </c>
      <c r="F101" s="15"/>
      <c r="G101" s="9"/>
      <c r="H101" s="53"/>
      <c r="I101" s="51" t="s">
        <v>262</v>
      </c>
      <c r="J101" s="51" t="s">
        <v>309</v>
      </c>
    </row>
    <row r="102" spans="1:10" ht="12.75">
      <c r="A102" s="50" t="s">
        <v>219</v>
      </c>
      <c r="B102" s="50" t="s">
        <v>224</v>
      </c>
      <c r="C102" s="51" t="s">
        <v>303</v>
      </c>
      <c r="D102" s="52">
        <v>3.9533660411834606</v>
      </c>
      <c r="E102" s="52">
        <f t="shared" si="5"/>
        <v>0.0038607090245932232</v>
      </c>
      <c r="F102" s="15"/>
      <c r="G102" s="9"/>
      <c r="H102" s="53"/>
      <c r="I102" s="51" t="s">
        <v>262</v>
      </c>
      <c r="J102" s="51" t="s">
        <v>309</v>
      </c>
    </row>
    <row r="103" spans="1:10" ht="12.75">
      <c r="A103" s="50" t="s">
        <v>219</v>
      </c>
      <c r="B103" s="50" t="s">
        <v>225</v>
      </c>
      <c r="C103" s="51" t="s">
        <v>303</v>
      </c>
      <c r="D103" s="52">
        <v>4.022969067096702</v>
      </c>
      <c r="E103" s="52">
        <f t="shared" si="5"/>
        <v>0.003928680729586623</v>
      </c>
      <c r="F103" s="15"/>
      <c r="G103" s="9"/>
      <c r="H103" s="53"/>
      <c r="I103" s="51" t="s">
        <v>262</v>
      </c>
      <c r="J103" s="51" t="s">
        <v>309</v>
      </c>
    </row>
    <row r="104" spans="1:10" ht="12.75">
      <c r="A104" s="50" t="s">
        <v>219</v>
      </c>
      <c r="B104" s="96" t="s">
        <v>226</v>
      </c>
      <c r="C104" s="51" t="s">
        <v>261</v>
      </c>
      <c r="D104" s="52">
        <v>660.2785155729193</v>
      </c>
      <c r="E104" s="52">
        <f t="shared" si="5"/>
        <v>0.644803237864179</v>
      </c>
      <c r="F104" s="15">
        <f>E104</f>
        <v>0.644803237864179</v>
      </c>
      <c r="G104" s="9"/>
      <c r="H104" s="53"/>
      <c r="I104" s="51" t="s">
        <v>262</v>
      </c>
      <c r="J104" s="51" t="s">
        <v>221</v>
      </c>
    </row>
    <row r="105" spans="1:10" ht="12.75">
      <c r="A105" s="50" t="s">
        <v>219</v>
      </c>
      <c r="B105" s="50" t="s">
        <v>227</v>
      </c>
      <c r="C105" s="51" t="s">
        <v>261</v>
      </c>
      <c r="D105" s="52">
        <v>9.316959461692754</v>
      </c>
      <c r="E105" s="52">
        <f t="shared" si="5"/>
        <v>0.00909859322430933</v>
      </c>
      <c r="F105" s="15">
        <f>E105</f>
        <v>0.00909859322430933</v>
      </c>
      <c r="G105" s="9"/>
      <c r="H105" s="53"/>
      <c r="I105" s="51" t="s">
        <v>262</v>
      </c>
      <c r="J105" s="51" t="s">
        <v>309</v>
      </c>
    </row>
    <row r="106" spans="1:10" ht="12.75">
      <c r="A106" s="50" t="s">
        <v>219</v>
      </c>
      <c r="B106" s="50" t="s">
        <v>228</v>
      </c>
      <c r="C106" s="51" t="s">
        <v>303</v>
      </c>
      <c r="D106" s="52">
        <v>16.92068207263943</v>
      </c>
      <c r="E106" s="52">
        <f t="shared" si="5"/>
        <v>0.016524103586561943</v>
      </c>
      <c r="F106" s="15">
        <f>E106</f>
        <v>0.016524103586561943</v>
      </c>
      <c r="G106" s="9"/>
      <c r="H106" s="53"/>
      <c r="I106" s="51" t="s">
        <v>262</v>
      </c>
      <c r="J106" s="51" t="s">
        <v>309</v>
      </c>
    </row>
    <row r="107" spans="1:10" ht="12.75">
      <c r="A107" s="50" t="s">
        <v>310</v>
      </c>
      <c r="B107" s="96" t="s">
        <v>229</v>
      </c>
      <c r="C107" s="51" t="s">
        <v>303</v>
      </c>
      <c r="D107" s="52">
        <v>667.1864745616905</v>
      </c>
      <c r="E107" s="52">
        <f t="shared" si="5"/>
        <v>0.6515492915641509</v>
      </c>
      <c r="F107" s="15">
        <f>E107</f>
        <v>0.6515492915641509</v>
      </c>
      <c r="G107" s="9"/>
      <c r="H107" s="53"/>
      <c r="I107" s="51" t="s">
        <v>262</v>
      </c>
      <c r="J107" s="51" t="s">
        <v>309</v>
      </c>
    </row>
    <row r="108" spans="1:10" ht="12.75">
      <c r="A108" s="50" t="s">
        <v>310</v>
      </c>
      <c r="B108" s="96" t="s">
        <v>230</v>
      </c>
      <c r="C108" s="51" t="s">
        <v>303</v>
      </c>
      <c r="D108" s="52">
        <v>64.08029866218553</v>
      </c>
      <c r="E108" s="52">
        <f t="shared" si="5"/>
        <v>0.06257841666229055</v>
      </c>
      <c r="F108" s="15">
        <f>E108</f>
        <v>0.06257841666229055</v>
      </c>
      <c r="G108" s="9"/>
      <c r="H108" s="53"/>
      <c r="I108" s="51" t="s">
        <v>262</v>
      </c>
      <c r="J108" s="51" t="s">
        <v>309</v>
      </c>
    </row>
    <row r="109" spans="1:10" ht="12.75">
      <c r="A109" s="50" t="s">
        <v>310</v>
      </c>
      <c r="B109" s="50" t="s">
        <v>231</v>
      </c>
      <c r="C109" s="51" t="s">
        <v>232</v>
      </c>
      <c r="D109" s="52">
        <f>(44*317)/365</f>
        <v>38.21369863013699</v>
      </c>
      <c r="E109" s="52">
        <f t="shared" si="5"/>
        <v>0.03731806506849315</v>
      </c>
      <c r="F109" s="15"/>
      <c r="G109" s="9"/>
      <c r="H109" s="53" t="s">
        <v>122</v>
      </c>
      <c r="I109" s="51" t="s">
        <v>262</v>
      </c>
      <c r="J109" s="51" t="s">
        <v>233</v>
      </c>
    </row>
    <row r="110" spans="1:10" ht="13.5" thickBot="1">
      <c r="A110" s="58" t="s">
        <v>310</v>
      </c>
      <c r="B110" s="58" t="s">
        <v>234</v>
      </c>
      <c r="C110" s="59" t="s">
        <v>232</v>
      </c>
      <c r="D110" s="60">
        <f>(44*317)/365</f>
        <v>38.21369863013699</v>
      </c>
      <c r="E110" s="60">
        <f t="shared" si="5"/>
        <v>0.03731806506849315</v>
      </c>
      <c r="F110" s="18"/>
      <c r="G110" s="10"/>
      <c r="H110" s="61" t="s">
        <v>122</v>
      </c>
      <c r="I110" s="59" t="s">
        <v>262</v>
      </c>
      <c r="J110" s="59" t="s">
        <v>233</v>
      </c>
    </row>
    <row r="111" spans="1:8" ht="12.75">
      <c r="A111" s="62"/>
      <c r="B111" s="62"/>
      <c r="C111" s="65" t="s">
        <v>267</v>
      </c>
      <c r="D111" s="66">
        <f>SUM(D99:D110)</f>
        <v>1519.0532872404053</v>
      </c>
      <c r="E111" s="32">
        <f t="shared" si="5"/>
        <v>1.4834504758207083</v>
      </c>
      <c r="F111" s="19">
        <f>SUM(F99:F110)</f>
        <v>1.3845536429014917</v>
      </c>
      <c r="H111" s="63">
        <f>SUM(H99:H110)</f>
        <v>0</v>
      </c>
    </row>
    <row r="113" spans="1:77" s="37" customFormat="1" ht="12.75">
      <c r="A113" s="35"/>
      <c r="B113" s="35"/>
      <c r="C113" s="35" t="s">
        <v>76</v>
      </c>
      <c r="D113" s="36">
        <f>D111</f>
        <v>1519.0532872404053</v>
      </c>
      <c r="E113" s="36">
        <f>E111</f>
        <v>1.4834504758207083</v>
      </c>
      <c r="F113" s="36">
        <f>F111</f>
        <v>1.3845536429014917</v>
      </c>
      <c r="G113" s="36">
        <f>G111</f>
        <v>0</v>
      </c>
      <c r="H113" s="36">
        <f>H111</f>
        <v>0</v>
      </c>
      <c r="I113" s="35"/>
      <c r="J113" s="35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</row>
    <row r="114" spans="1:5" ht="12.75">
      <c r="A114" s="8"/>
      <c r="B114" s="8"/>
      <c r="C114" s="8"/>
      <c r="D114" s="30"/>
      <c r="E114" s="30"/>
    </row>
    <row r="115" spans="1:10" ht="12.75">
      <c r="A115" s="50" t="s">
        <v>124</v>
      </c>
      <c r="B115" s="50" t="s">
        <v>125</v>
      </c>
      <c r="C115" s="51" t="s">
        <v>126</v>
      </c>
      <c r="D115" s="52">
        <v>0.8302903175353996</v>
      </c>
      <c r="E115" s="52">
        <f aca="true" t="shared" si="6" ref="E115:E120">D115/1024</f>
        <v>0.0008108303882181637</v>
      </c>
      <c r="F115" s="15"/>
      <c r="G115" s="9"/>
      <c r="H115" s="53"/>
      <c r="I115" s="51" t="s">
        <v>262</v>
      </c>
      <c r="J115" s="51" t="s">
        <v>127</v>
      </c>
    </row>
    <row r="116" spans="1:10" ht="12.75">
      <c r="A116" s="50" t="s">
        <v>124</v>
      </c>
      <c r="B116" s="96" t="s">
        <v>128</v>
      </c>
      <c r="C116" s="51" t="s">
        <v>126</v>
      </c>
      <c r="D116" s="52">
        <v>2079.3743257522565</v>
      </c>
      <c r="E116" s="52">
        <f t="shared" si="6"/>
        <v>2.030638989992438</v>
      </c>
      <c r="F116" s="15">
        <f>E116</f>
        <v>2.030638989992438</v>
      </c>
      <c r="G116" s="9"/>
      <c r="H116" s="53"/>
      <c r="I116" s="51" t="s">
        <v>262</v>
      </c>
      <c r="J116" s="51" t="s">
        <v>127</v>
      </c>
    </row>
    <row r="117" spans="1:10" ht="12.75">
      <c r="A117" s="50" t="s">
        <v>124</v>
      </c>
      <c r="B117" s="50" t="s">
        <v>129</v>
      </c>
      <c r="C117" s="51" t="s">
        <v>126</v>
      </c>
      <c r="D117" s="52">
        <v>31.438431620597832</v>
      </c>
      <c r="E117" s="52">
        <f t="shared" si="6"/>
        <v>0.03070159337949007</v>
      </c>
      <c r="F117" s="15"/>
      <c r="G117" s="9"/>
      <c r="H117" s="95"/>
      <c r="I117" s="51" t="s">
        <v>262</v>
      </c>
      <c r="J117" s="51" t="s">
        <v>127</v>
      </c>
    </row>
    <row r="118" spans="1:10" ht="12.75">
      <c r="A118" s="50" t="s">
        <v>130</v>
      </c>
      <c r="B118" s="96" t="s">
        <v>131</v>
      </c>
      <c r="C118" s="51" t="s">
        <v>126</v>
      </c>
      <c r="D118" s="52">
        <v>1925.8159583806982</v>
      </c>
      <c r="E118" s="52">
        <f t="shared" si="6"/>
        <v>1.8806796468561506</v>
      </c>
      <c r="F118" s="15">
        <f>E118</f>
        <v>1.8806796468561506</v>
      </c>
      <c r="G118" s="9"/>
      <c r="H118" s="53"/>
      <c r="I118" s="51" t="s">
        <v>262</v>
      </c>
      <c r="J118" s="51" t="s">
        <v>127</v>
      </c>
    </row>
    <row r="119" spans="1:10" ht="13.5" thickBot="1">
      <c r="A119" s="58" t="s">
        <v>124</v>
      </c>
      <c r="B119" s="58" t="s">
        <v>273</v>
      </c>
      <c r="C119" s="59" t="s">
        <v>126</v>
      </c>
      <c r="D119" s="60">
        <v>0.883919954299926</v>
      </c>
      <c r="E119" s="60">
        <f t="shared" si="6"/>
        <v>0.0008632030803710215</v>
      </c>
      <c r="F119" s="18">
        <f>E119</f>
        <v>0.0008632030803710215</v>
      </c>
      <c r="G119" s="10"/>
      <c r="H119" s="61" t="s">
        <v>122</v>
      </c>
      <c r="I119" s="59" t="s">
        <v>262</v>
      </c>
      <c r="J119" s="59" t="s">
        <v>127</v>
      </c>
    </row>
    <row r="120" spans="1:8" ht="12.75">
      <c r="A120" s="62"/>
      <c r="B120" s="62"/>
      <c r="C120" s="5" t="s">
        <v>209</v>
      </c>
      <c r="D120" s="32">
        <f>SUM(D115:D119)</f>
        <v>4038.342926025388</v>
      </c>
      <c r="E120" s="32">
        <f t="shared" si="6"/>
        <v>3.943694263696668</v>
      </c>
      <c r="F120" s="19">
        <f>SUM(F115:F119)</f>
        <v>3.9121818399289596</v>
      </c>
      <c r="H120" s="63">
        <f>SUM(H115:H119)</f>
        <v>0</v>
      </c>
    </row>
    <row r="121" spans="1:5" ht="12.75">
      <c r="A121" s="62"/>
      <c r="B121" s="62"/>
      <c r="C121" s="5"/>
      <c r="D121" s="32"/>
      <c r="E121" s="32"/>
    </row>
    <row r="122" spans="1:10" ht="12.75">
      <c r="A122" s="50" t="s">
        <v>132</v>
      </c>
      <c r="B122" s="50" t="s">
        <v>133</v>
      </c>
      <c r="C122" s="51" t="s">
        <v>126</v>
      </c>
      <c r="D122" s="52">
        <v>0.37379878759384044</v>
      </c>
      <c r="E122" s="52">
        <f aca="true" t="shared" si="7" ref="E122:E136">D122/1024</f>
        <v>0.0003650378785096098</v>
      </c>
      <c r="F122" s="15"/>
      <c r="G122" s="9"/>
      <c r="H122" s="53"/>
      <c r="I122" s="51" t="s">
        <v>262</v>
      </c>
      <c r="J122" s="51" t="s">
        <v>127</v>
      </c>
    </row>
    <row r="123" spans="1:10" ht="12.75">
      <c r="A123" s="50" t="s">
        <v>132</v>
      </c>
      <c r="B123" s="50" t="s">
        <v>134</v>
      </c>
      <c r="C123" s="51" t="s">
        <v>126</v>
      </c>
      <c r="D123" s="52">
        <v>0.4498522877693168</v>
      </c>
      <c r="E123" s="52">
        <f t="shared" si="7"/>
        <v>0.00043930887477472343</v>
      </c>
      <c r="F123" s="15"/>
      <c r="G123" s="9"/>
      <c r="H123" s="53"/>
      <c r="I123" s="51" t="s">
        <v>262</v>
      </c>
      <c r="J123" s="51" t="s">
        <v>127</v>
      </c>
    </row>
    <row r="124" spans="1:10" ht="12.75">
      <c r="A124" s="50" t="s">
        <v>132</v>
      </c>
      <c r="B124" s="50" t="s">
        <v>135</v>
      </c>
      <c r="C124" s="51" t="s">
        <v>126</v>
      </c>
      <c r="D124" s="52">
        <v>0.4463295340538008</v>
      </c>
      <c r="E124" s="52">
        <f t="shared" si="7"/>
        <v>0.00043586868559941487</v>
      </c>
      <c r="F124" s="15"/>
      <c r="G124" s="9"/>
      <c r="H124" s="53"/>
      <c r="I124" s="51" t="s">
        <v>262</v>
      </c>
      <c r="J124" s="51" t="s">
        <v>127</v>
      </c>
    </row>
    <row r="125" spans="1:10" ht="12.75">
      <c r="A125" s="50" t="s">
        <v>132</v>
      </c>
      <c r="B125" s="50" t="s">
        <v>136</v>
      </c>
      <c r="C125" s="51" t="s">
        <v>126</v>
      </c>
      <c r="D125" s="52">
        <v>0.44711875915527177</v>
      </c>
      <c r="E125" s="52">
        <f t="shared" si="7"/>
        <v>0.0004366394132375701</v>
      </c>
      <c r="F125" s="15"/>
      <c r="G125" s="9"/>
      <c r="H125" s="53"/>
      <c r="I125" s="51" t="s">
        <v>262</v>
      </c>
      <c r="J125" s="51" t="s">
        <v>127</v>
      </c>
    </row>
    <row r="126" spans="1:10" ht="12.75">
      <c r="A126" s="50" t="s">
        <v>132</v>
      </c>
      <c r="B126" s="50" t="s">
        <v>137</v>
      </c>
      <c r="C126" s="51" t="s">
        <v>126</v>
      </c>
      <c r="D126" s="52">
        <v>0.44665962457656627</v>
      </c>
      <c r="E126" s="52">
        <f t="shared" si="7"/>
        <v>0.000436191039625553</v>
      </c>
      <c r="F126" s="15"/>
      <c r="G126" s="9"/>
      <c r="H126" s="53"/>
      <c r="I126" s="51" t="s">
        <v>262</v>
      </c>
      <c r="J126" s="51" t="s">
        <v>127</v>
      </c>
    </row>
    <row r="127" spans="1:10" ht="12.75">
      <c r="A127" s="50" t="s">
        <v>132</v>
      </c>
      <c r="B127" s="50" t="s">
        <v>138</v>
      </c>
      <c r="C127" s="51" t="s">
        <v>126</v>
      </c>
      <c r="D127" s="52">
        <v>0.44859236478805276</v>
      </c>
      <c r="E127" s="52">
        <f t="shared" si="7"/>
        <v>0.00043807848123833277</v>
      </c>
      <c r="F127" s="15"/>
      <c r="G127" s="9"/>
      <c r="H127" s="53"/>
      <c r="I127" s="51" t="s">
        <v>262</v>
      </c>
      <c r="J127" s="51" t="s">
        <v>127</v>
      </c>
    </row>
    <row r="128" spans="1:10" ht="12.75">
      <c r="A128" s="50" t="s">
        <v>132</v>
      </c>
      <c r="B128" s="50" t="s">
        <v>139</v>
      </c>
      <c r="C128" s="51" t="s">
        <v>126</v>
      </c>
      <c r="D128" s="52">
        <v>0.4529988765716525</v>
      </c>
      <c r="E128" s="52">
        <f t="shared" si="7"/>
        <v>0.0004423817154020044</v>
      </c>
      <c r="F128" s="15"/>
      <c r="G128" s="9"/>
      <c r="H128" s="53"/>
      <c r="I128" s="51" t="s">
        <v>262</v>
      </c>
      <c r="J128" s="51" t="s">
        <v>127</v>
      </c>
    </row>
    <row r="129" spans="1:10" ht="12.75">
      <c r="A129" s="50" t="s">
        <v>132</v>
      </c>
      <c r="B129" s="50" t="s">
        <v>140</v>
      </c>
      <c r="C129" s="51" t="s">
        <v>126</v>
      </c>
      <c r="D129" s="52">
        <v>0.45473670959472623</v>
      </c>
      <c r="E129" s="52">
        <f t="shared" si="7"/>
        <v>0.00044407881796359983</v>
      </c>
      <c r="F129" s="15"/>
      <c r="G129" s="9"/>
      <c r="H129" s="53"/>
      <c r="I129" s="51" t="s">
        <v>262</v>
      </c>
      <c r="J129" s="51" t="s">
        <v>127</v>
      </c>
    </row>
    <row r="130" spans="1:10" ht="12.75">
      <c r="A130" s="50" t="s">
        <v>132</v>
      </c>
      <c r="B130" s="50" t="s">
        <v>145</v>
      </c>
      <c r="C130" s="51" t="s">
        <v>126</v>
      </c>
      <c r="D130" s="52">
        <v>0.45063567161559726</v>
      </c>
      <c r="E130" s="52">
        <f t="shared" si="7"/>
        <v>0.0004400738980621067</v>
      </c>
      <c r="F130" s="15"/>
      <c r="G130" s="9"/>
      <c r="H130" s="53"/>
      <c r="I130" s="51" t="s">
        <v>262</v>
      </c>
      <c r="J130" s="51" t="s">
        <v>127</v>
      </c>
    </row>
    <row r="131" spans="1:10" ht="12.75">
      <c r="A131" s="50" t="s">
        <v>132</v>
      </c>
      <c r="B131" s="96" t="s">
        <v>146</v>
      </c>
      <c r="C131" s="51" t="s">
        <v>126</v>
      </c>
      <c r="D131" s="52">
        <v>15.130439519882197</v>
      </c>
      <c r="E131" s="52">
        <f t="shared" si="7"/>
        <v>0.014775819843634958</v>
      </c>
      <c r="F131" s="15">
        <f>E131</f>
        <v>0.014775819843634958</v>
      </c>
      <c r="G131" s="9"/>
      <c r="H131" s="53"/>
      <c r="I131" s="51" t="s">
        <v>262</v>
      </c>
      <c r="J131" s="51" t="s">
        <v>127</v>
      </c>
    </row>
    <row r="132" spans="1:10" ht="12.75">
      <c r="A132" s="50" t="s">
        <v>132</v>
      </c>
      <c r="B132" s="50" t="s">
        <v>147</v>
      </c>
      <c r="C132" s="51" t="s">
        <v>126</v>
      </c>
      <c r="D132" s="52">
        <v>16.64060008525847</v>
      </c>
      <c r="E132" s="52">
        <f t="shared" si="7"/>
        <v>0.016250586020760224</v>
      </c>
      <c r="F132" s="15"/>
      <c r="G132" s="9"/>
      <c r="H132" s="95"/>
      <c r="I132" s="51" t="s">
        <v>262</v>
      </c>
      <c r="J132" s="51" t="s">
        <v>127</v>
      </c>
    </row>
    <row r="133" spans="1:10" ht="12.75">
      <c r="A133" s="50" t="s">
        <v>132</v>
      </c>
      <c r="B133" s="96" t="s">
        <v>148</v>
      </c>
      <c r="C133" s="51" t="s">
        <v>126</v>
      </c>
      <c r="D133" s="52">
        <v>11.542595803737617</v>
      </c>
      <c r="E133" s="52">
        <f t="shared" si="7"/>
        <v>0.011272066214587517</v>
      </c>
      <c r="F133" s="15">
        <f>E133</f>
        <v>0.011272066214587517</v>
      </c>
      <c r="G133" s="9"/>
      <c r="H133" s="53"/>
      <c r="I133" s="51" t="s">
        <v>262</v>
      </c>
      <c r="J133" s="51" t="s">
        <v>127</v>
      </c>
    </row>
    <row r="134" spans="1:10" ht="12.75">
      <c r="A134" s="50" t="s">
        <v>132</v>
      </c>
      <c r="B134" s="50" t="s">
        <v>149</v>
      </c>
      <c r="C134" s="51" t="s">
        <v>126</v>
      </c>
      <c r="D134" s="52">
        <v>2.839814424514768</v>
      </c>
      <c r="E134" s="52">
        <f t="shared" si="7"/>
        <v>0.002773256273940203</v>
      </c>
      <c r="F134" s="15"/>
      <c r="G134" s="9"/>
      <c r="H134" s="95"/>
      <c r="I134" s="51" t="s">
        <v>262</v>
      </c>
      <c r="J134" s="51" t="s">
        <v>127</v>
      </c>
    </row>
    <row r="135" spans="1:10" ht="13.5" thickBot="1">
      <c r="A135" s="58" t="s">
        <v>132</v>
      </c>
      <c r="B135" s="58" t="s">
        <v>273</v>
      </c>
      <c r="C135" s="59" t="s">
        <v>126</v>
      </c>
      <c r="D135" s="60">
        <v>4.09816545248031</v>
      </c>
      <c r="E135" s="60">
        <f t="shared" si="7"/>
        <v>0.004002114699687803</v>
      </c>
      <c r="F135" s="18">
        <f>E135</f>
        <v>0.004002114699687803</v>
      </c>
      <c r="G135" s="10"/>
      <c r="H135" s="61" t="s">
        <v>122</v>
      </c>
      <c r="I135" s="59" t="s">
        <v>262</v>
      </c>
      <c r="J135" s="59" t="s">
        <v>127</v>
      </c>
    </row>
    <row r="136" spans="1:8" ht="12.75">
      <c r="A136" s="62"/>
      <c r="B136" s="62"/>
      <c r="C136" s="5" t="s">
        <v>150</v>
      </c>
      <c r="D136" s="32">
        <f>SUM(D122:D135)</f>
        <v>54.22233790159219</v>
      </c>
      <c r="E136" s="32">
        <f t="shared" si="7"/>
        <v>0.052951501857023624</v>
      </c>
      <c r="F136" s="19">
        <f>SUM(F122:F135)</f>
        <v>0.030050000757910277</v>
      </c>
      <c r="H136" s="63">
        <f>SUM(H122:H135)</f>
        <v>0</v>
      </c>
    </row>
    <row r="137" spans="1:5" ht="12.75">
      <c r="A137" s="62"/>
      <c r="B137" s="62"/>
      <c r="D137" s="32"/>
      <c r="E137" s="32"/>
    </row>
    <row r="138" spans="1:5" ht="12.75">
      <c r="A138" s="62"/>
      <c r="B138" s="62"/>
      <c r="D138" s="32"/>
      <c r="E138" s="32"/>
    </row>
    <row r="139" spans="1:10" ht="12.75">
      <c r="A139" s="50" t="s">
        <v>235</v>
      </c>
      <c r="B139" s="96" t="s">
        <v>236</v>
      </c>
      <c r="C139" s="51" t="s">
        <v>126</v>
      </c>
      <c r="D139" s="52">
        <v>151.93763054218783</v>
      </c>
      <c r="E139" s="52">
        <f aca="true" t="shared" si="8" ref="E139:E144">D139/1024</f>
        <v>0.1483765923263553</v>
      </c>
      <c r="F139" s="15">
        <f>E139</f>
        <v>0.1483765923263553</v>
      </c>
      <c r="G139" s="9"/>
      <c r="H139" s="53"/>
      <c r="I139" s="51" t="s">
        <v>262</v>
      </c>
      <c r="J139" s="51" t="s">
        <v>127</v>
      </c>
    </row>
    <row r="140" spans="1:10" ht="12.75">
      <c r="A140" s="50" t="s">
        <v>235</v>
      </c>
      <c r="B140" s="50" t="s">
        <v>237</v>
      </c>
      <c r="C140" s="51" t="s">
        <v>126</v>
      </c>
      <c r="D140" s="52">
        <v>9.810301355041284</v>
      </c>
      <c r="E140" s="52">
        <f t="shared" si="8"/>
        <v>0.009580372417032504</v>
      </c>
      <c r="F140" s="15"/>
      <c r="G140" s="9"/>
      <c r="H140" s="53"/>
      <c r="I140" s="51" t="s">
        <v>262</v>
      </c>
      <c r="J140" s="51" t="s">
        <v>127</v>
      </c>
    </row>
    <row r="141" spans="1:10" ht="12.75">
      <c r="A141" s="50" t="s">
        <v>235</v>
      </c>
      <c r="B141" s="50" t="s">
        <v>238</v>
      </c>
      <c r="C141" s="51" t="s">
        <v>126</v>
      </c>
      <c r="D141" s="52">
        <v>0.6355253030513885</v>
      </c>
      <c r="E141" s="52">
        <f t="shared" si="8"/>
        <v>0.0006206301787611216</v>
      </c>
      <c r="F141" s="15"/>
      <c r="G141" s="9"/>
      <c r="H141" s="53"/>
      <c r="I141" s="51" t="s">
        <v>262</v>
      </c>
      <c r="J141" s="51" t="s">
        <v>127</v>
      </c>
    </row>
    <row r="142" spans="1:10" ht="12.75">
      <c r="A142" s="50" t="s">
        <v>235</v>
      </c>
      <c r="B142" s="50" t="s">
        <v>239</v>
      </c>
      <c r="C142" s="51" t="s">
        <v>126</v>
      </c>
      <c r="D142" s="52">
        <v>0.6304846605350215</v>
      </c>
      <c r="E142" s="52">
        <f t="shared" si="8"/>
        <v>0.0006157076763037319</v>
      </c>
      <c r="F142" s="15"/>
      <c r="G142" s="9"/>
      <c r="H142" s="95"/>
      <c r="I142" s="51" t="s">
        <v>262</v>
      </c>
      <c r="J142" s="51" t="s">
        <v>127</v>
      </c>
    </row>
    <row r="143" spans="1:10" ht="13.5" thickBot="1">
      <c r="A143" s="58" t="s">
        <v>235</v>
      </c>
      <c r="B143" s="58" t="s">
        <v>273</v>
      </c>
      <c r="C143" s="59" t="s">
        <v>126</v>
      </c>
      <c r="D143" s="60">
        <v>1.3265107045913538</v>
      </c>
      <c r="E143" s="60">
        <f t="shared" si="8"/>
        <v>0.001295420609952494</v>
      </c>
      <c r="F143" s="18">
        <f>E143</f>
        <v>0.001295420609952494</v>
      </c>
      <c r="G143" s="10"/>
      <c r="H143" s="61" t="s">
        <v>122</v>
      </c>
      <c r="I143" s="59" t="s">
        <v>262</v>
      </c>
      <c r="J143" s="59" t="s">
        <v>127</v>
      </c>
    </row>
    <row r="144" spans="1:8" ht="12.75">
      <c r="A144" s="62"/>
      <c r="B144" s="62"/>
      <c r="C144" s="65" t="s">
        <v>267</v>
      </c>
      <c r="D144" s="66">
        <f>SUM(D139:D143)</f>
        <v>164.34045256540688</v>
      </c>
      <c r="E144" s="32">
        <f t="shared" si="8"/>
        <v>0.16048872320840515</v>
      </c>
      <c r="F144" s="19">
        <f>SUM(F139:F143)</f>
        <v>0.1496720129363078</v>
      </c>
      <c r="H144" s="63">
        <f>SUM(H139:H143)</f>
        <v>0</v>
      </c>
    </row>
    <row r="145" spans="1:5" ht="12.75">
      <c r="A145" s="62"/>
      <c r="B145" s="62"/>
      <c r="C145" s="65"/>
      <c r="D145" s="66"/>
      <c r="E145" s="32"/>
    </row>
    <row r="146" spans="1:5" ht="12.75">
      <c r="A146" s="62"/>
      <c r="B146" s="62"/>
      <c r="D146" s="32"/>
      <c r="E146" s="32"/>
    </row>
    <row r="147" spans="1:10" ht="12.75">
      <c r="A147" s="50" t="s">
        <v>151</v>
      </c>
      <c r="B147" s="50" t="s">
        <v>152</v>
      </c>
      <c r="C147" s="51" t="s">
        <v>126</v>
      </c>
      <c r="D147" s="52">
        <v>0.6627478599548314</v>
      </c>
      <c r="E147" s="52">
        <f aca="true" t="shared" si="9" ref="E147:E152">D147/1024</f>
        <v>0.0006472147069871401</v>
      </c>
      <c r="F147" s="15"/>
      <c r="G147" s="9"/>
      <c r="H147" s="53"/>
      <c r="I147" s="51" t="s">
        <v>153</v>
      </c>
      <c r="J147" s="51" t="s">
        <v>127</v>
      </c>
    </row>
    <row r="148" spans="1:10" ht="12.75">
      <c r="A148" s="50" t="s">
        <v>151</v>
      </c>
      <c r="B148" s="50" t="s">
        <v>154</v>
      </c>
      <c r="C148" s="51" t="s">
        <v>126</v>
      </c>
      <c r="D148" s="52">
        <v>0.7011252045631379</v>
      </c>
      <c r="E148" s="52">
        <f t="shared" si="9"/>
        <v>0.0006846925825811893</v>
      </c>
      <c r="F148" s="15"/>
      <c r="G148" s="9"/>
      <c r="H148" s="53"/>
      <c r="I148" s="51" t="s">
        <v>153</v>
      </c>
      <c r="J148" s="51" t="s">
        <v>127</v>
      </c>
    </row>
    <row r="149" spans="1:10" ht="12.75">
      <c r="A149" s="50" t="s">
        <v>151</v>
      </c>
      <c r="B149" s="96" t="s">
        <v>155</v>
      </c>
      <c r="C149" s="51" t="s">
        <v>126</v>
      </c>
      <c r="D149" s="52">
        <v>42.96618181467038</v>
      </c>
      <c r="E149" s="52">
        <f t="shared" si="9"/>
        <v>0.04195916192838904</v>
      </c>
      <c r="F149" s="15">
        <f>E149</f>
        <v>0.04195916192838904</v>
      </c>
      <c r="G149" s="9"/>
      <c r="H149" s="53"/>
      <c r="I149" s="51" t="s">
        <v>153</v>
      </c>
      <c r="J149" s="51" t="s">
        <v>127</v>
      </c>
    </row>
    <row r="150" spans="1:10" ht="12.75">
      <c r="A150" s="50" t="s">
        <v>151</v>
      </c>
      <c r="B150" s="96" t="s">
        <v>156</v>
      </c>
      <c r="C150" s="51" t="s">
        <v>126</v>
      </c>
      <c r="D150" s="52">
        <v>4.227428555488564</v>
      </c>
      <c r="E150" s="52">
        <f t="shared" si="9"/>
        <v>0.004128348198719301</v>
      </c>
      <c r="F150" s="15"/>
      <c r="G150" s="9"/>
      <c r="H150" s="95"/>
      <c r="I150" s="51" t="s">
        <v>153</v>
      </c>
      <c r="J150" s="51" t="s">
        <v>127</v>
      </c>
    </row>
    <row r="151" spans="1:10" ht="13.5" thickBot="1">
      <c r="A151" s="58" t="s">
        <v>151</v>
      </c>
      <c r="B151" s="58" t="s">
        <v>273</v>
      </c>
      <c r="C151" s="59" t="s">
        <v>126</v>
      </c>
      <c r="D151" s="60">
        <v>1.4184573292732217</v>
      </c>
      <c r="E151" s="60">
        <f t="shared" si="9"/>
        <v>0.0013852122356183805</v>
      </c>
      <c r="F151" s="18">
        <f>E151</f>
        <v>0.0013852122356183805</v>
      </c>
      <c r="G151" s="10"/>
      <c r="H151" s="61" t="s">
        <v>122</v>
      </c>
      <c r="I151" s="59" t="s">
        <v>157</v>
      </c>
      <c r="J151" s="59" t="s">
        <v>127</v>
      </c>
    </row>
    <row r="152" spans="1:8" ht="12.75">
      <c r="A152" s="62"/>
      <c r="B152" s="62"/>
      <c r="C152" s="5" t="s">
        <v>150</v>
      </c>
      <c r="D152" s="32">
        <f>SUM(D147:D151)</f>
        <v>49.975940763950135</v>
      </c>
      <c r="E152" s="32">
        <f t="shared" si="9"/>
        <v>0.04880462965229505</v>
      </c>
      <c r="F152" s="19">
        <f>SUM(F147:F151)</f>
        <v>0.043344374164007424</v>
      </c>
      <c r="H152" s="63">
        <f>SUM(H147:H151)</f>
        <v>0</v>
      </c>
    </row>
    <row r="153" spans="1:5" ht="12.75">
      <c r="A153" s="62"/>
      <c r="B153" s="62"/>
      <c r="C153" s="5"/>
      <c r="D153" s="32"/>
      <c r="E153" s="32"/>
    </row>
    <row r="154" spans="1:10" ht="12.75">
      <c r="A154" s="50" t="s">
        <v>158</v>
      </c>
      <c r="B154" s="50" t="s">
        <v>159</v>
      </c>
      <c r="C154" s="51" t="s">
        <v>126</v>
      </c>
      <c r="D154" s="52">
        <v>0.5104927420616142</v>
      </c>
      <c r="E154" s="52">
        <f>D154/1024</f>
        <v>0.0004985280684195451</v>
      </c>
      <c r="F154" s="15"/>
      <c r="G154" s="9"/>
      <c r="H154" s="53"/>
      <c r="I154" s="51" t="s">
        <v>262</v>
      </c>
      <c r="J154" s="51" t="s">
        <v>127</v>
      </c>
    </row>
    <row r="155" spans="1:10" ht="12.75">
      <c r="A155" s="50" t="s">
        <v>158</v>
      </c>
      <c r="B155" s="96" t="s">
        <v>160</v>
      </c>
      <c r="C155" s="51" t="s">
        <v>126</v>
      </c>
      <c r="D155" s="52">
        <v>4.635631263256061</v>
      </c>
      <c r="E155" s="52">
        <f>D155/1024</f>
        <v>0.004526983655523497</v>
      </c>
      <c r="F155" s="15"/>
      <c r="G155" s="9">
        <f>E155</f>
        <v>0.004526983655523497</v>
      </c>
      <c r="H155" s="53"/>
      <c r="I155" s="51" t="s">
        <v>262</v>
      </c>
      <c r="J155" s="51" t="s">
        <v>127</v>
      </c>
    </row>
    <row r="156" spans="1:10" ht="12.75">
      <c r="A156" s="50" t="s">
        <v>158</v>
      </c>
      <c r="B156" s="50" t="s">
        <v>161</v>
      </c>
      <c r="C156" s="51" t="s">
        <v>126</v>
      </c>
      <c r="D156" s="52">
        <v>2.8854730129241926</v>
      </c>
      <c r="E156" s="52">
        <f>D156/1024</f>
        <v>0.002817844739183782</v>
      </c>
      <c r="F156" s="15"/>
      <c r="G156" s="9"/>
      <c r="H156" s="95"/>
      <c r="I156" s="51" t="s">
        <v>262</v>
      </c>
      <c r="J156" s="51" t="s">
        <v>127</v>
      </c>
    </row>
    <row r="157" spans="1:10" ht="13.5" thickBot="1">
      <c r="A157" s="58" t="s">
        <v>158</v>
      </c>
      <c r="B157" s="58" t="s">
        <v>273</v>
      </c>
      <c r="C157" s="59" t="s">
        <v>126</v>
      </c>
      <c r="D157" s="60">
        <v>0.5659975409507744</v>
      </c>
      <c r="E157" s="60">
        <f>D157/1024</f>
        <v>0.0005527319735847406</v>
      </c>
      <c r="F157" s="18"/>
      <c r="G157" s="10">
        <f>E157</f>
        <v>0.0005527319735847406</v>
      </c>
      <c r="H157" s="61" t="s">
        <v>122</v>
      </c>
      <c r="I157" s="59" t="s">
        <v>262</v>
      </c>
      <c r="J157" s="59" t="s">
        <v>127</v>
      </c>
    </row>
    <row r="158" spans="1:8" ht="12.75">
      <c r="A158" s="62"/>
      <c r="B158" s="62"/>
      <c r="C158" s="5" t="s">
        <v>150</v>
      </c>
      <c r="D158" s="32">
        <f>SUM(D154:D157)</f>
        <v>8.597594559192643</v>
      </c>
      <c r="E158" s="32">
        <f>D158/1024</f>
        <v>0.008396088436711566</v>
      </c>
      <c r="G158" s="20">
        <f>SUM(G154:G157)</f>
        <v>0.005079715629108237</v>
      </c>
      <c r="H158" s="63">
        <f>SUM(H154:H157)</f>
        <v>0</v>
      </c>
    </row>
    <row r="159" spans="1:5" ht="12.75">
      <c r="A159" s="62"/>
      <c r="B159" s="62"/>
      <c r="C159" s="5"/>
      <c r="D159" s="32"/>
      <c r="E159" s="32"/>
    </row>
    <row r="160" spans="1:5" ht="12.75">
      <c r="A160" s="62"/>
      <c r="B160" s="62"/>
      <c r="C160" s="5"/>
      <c r="D160" s="32"/>
      <c r="E160" s="32"/>
    </row>
    <row r="161" spans="1:77" s="37" customFormat="1" ht="12.75">
      <c r="A161" s="41"/>
      <c r="B161" s="41"/>
      <c r="C161" s="35" t="s">
        <v>77</v>
      </c>
      <c r="D161" s="36">
        <f>D158+D152+D144+D136+D120</f>
        <v>4315.47925181553</v>
      </c>
      <c r="E161" s="36">
        <f>E158+E152+E144+E136+E120</f>
        <v>4.2143352068511035</v>
      </c>
      <c r="F161" s="36">
        <f>F158+F152+F144+F136+F120</f>
        <v>4.135248227787185</v>
      </c>
      <c r="G161" s="36">
        <f>G158+G152+G144+G136+G120</f>
        <v>0.005079715629108237</v>
      </c>
      <c r="H161" s="36">
        <f>H158+H152+H144+H136+H120</f>
        <v>0</v>
      </c>
      <c r="I161" s="35"/>
      <c r="J161" s="35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</row>
    <row r="162" spans="1:5" ht="12.75">
      <c r="A162" s="75"/>
      <c r="B162" s="75"/>
      <c r="C162" s="5"/>
      <c r="D162" s="32"/>
      <c r="E162" s="32"/>
    </row>
    <row r="163" spans="1:10" ht="12.75">
      <c r="A163" s="51" t="s">
        <v>25</v>
      </c>
      <c r="B163" s="51" t="s">
        <v>26</v>
      </c>
      <c r="C163" s="51" t="s">
        <v>27</v>
      </c>
      <c r="D163" s="52">
        <v>0.22449904680252009</v>
      </c>
      <c r="E163" s="52">
        <f aca="true" t="shared" si="10" ref="E163:E185">D163/1024</f>
        <v>0.00021923735039308602</v>
      </c>
      <c r="F163" s="15"/>
      <c r="G163" s="9"/>
      <c r="H163" s="52">
        <f aca="true" t="shared" si="11" ref="H163:H181">E163</f>
        <v>0.00021923735039308602</v>
      </c>
      <c r="I163" s="51" t="s">
        <v>123</v>
      </c>
      <c r="J163" s="51" t="s">
        <v>28</v>
      </c>
    </row>
    <row r="164" spans="1:10" ht="12.75">
      <c r="A164" s="51" t="s">
        <v>25</v>
      </c>
      <c r="B164" s="51" t="s">
        <v>29</v>
      </c>
      <c r="C164" s="51" t="s">
        <v>27</v>
      </c>
      <c r="D164" s="52">
        <v>0.344255656003951</v>
      </c>
      <c r="E164" s="52">
        <f t="shared" si="10"/>
        <v>0.0003361871640663584</v>
      </c>
      <c r="F164" s="15"/>
      <c r="G164" s="9"/>
      <c r="H164" s="52">
        <f t="shared" si="11"/>
        <v>0.0003361871640663584</v>
      </c>
      <c r="I164" s="51" t="s">
        <v>123</v>
      </c>
      <c r="J164" s="51" t="s">
        <v>28</v>
      </c>
    </row>
    <row r="165" spans="1:10" ht="12.75">
      <c r="A165" s="51" t="s">
        <v>25</v>
      </c>
      <c r="B165" s="51" t="s">
        <v>30</v>
      </c>
      <c r="C165" s="51" t="s">
        <v>27</v>
      </c>
      <c r="D165" s="52">
        <v>0.21859502792358343</v>
      </c>
      <c r="E165" s="52">
        <f t="shared" si="10"/>
        <v>0.00021347170695662444</v>
      </c>
      <c r="F165" s="15"/>
      <c r="G165" s="9"/>
      <c r="H165" s="52">
        <f t="shared" si="11"/>
        <v>0.00021347170695662444</v>
      </c>
      <c r="I165" s="51" t="s">
        <v>123</v>
      </c>
      <c r="J165" s="51" t="s">
        <v>28</v>
      </c>
    </row>
    <row r="166" spans="1:10" ht="12.75">
      <c r="A166" s="51" t="s">
        <v>25</v>
      </c>
      <c r="B166" s="51" t="s">
        <v>31</v>
      </c>
      <c r="C166" s="51" t="s">
        <v>27</v>
      </c>
      <c r="D166" s="52">
        <v>0.2178660631179803</v>
      </c>
      <c r="E166" s="52">
        <f t="shared" si="10"/>
        <v>0.00021275982726365263</v>
      </c>
      <c r="F166" s="15"/>
      <c r="G166" s="9"/>
      <c r="H166" s="52">
        <f t="shared" si="11"/>
        <v>0.00021275982726365263</v>
      </c>
      <c r="I166" s="51" t="s">
        <v>123</v>
      </c>
      <c r="J166" s="51" t="s">
        <v>28</v>
      </c>
    </row>
    <row r="167" spans="1:10" ht="12.75">
      <c r="A167" s="51" t="s">
        <v>25</v>
      </c>
      <c r="B167" s="51" t="s">
        <v>32</v>
      </c>
      <c r="C167" s="51" t="s">
        <v>27</v>
      </c>
      <c r="D167" s="52">
        <v>0.33985668420791615</v>
      </c>
      <c r="E167" s="52">
        <f t="shared" si="10"/>
        <v>0.0003318912931717931</v>
      </c>
      <c r="F167" s="15"/>
      <c r="G167" s="9"/>
      <c r="H167" s="52">
        <f t="shared" si="11"/>
        <v>0.0003318912931717931</v>
      </c>
      <c r="I167" s="51" t="s">
        <v>123</v>
      </c>
      <c r="J167" s="51" t="s">
        <v>28</v>
      </c>
    </row>
    <row r="168" spans="1:10" ht="12.75">
      <c r="A168" s="51" t="s">
        <v>25</v>
      </c>
      <c r="B168" s="51" t="s">
        <v>33</v>
      </c>
      <c r="C168" s="51" t="s">
        <v>27</v>
      </c>
      <c r="D168" s="52">
        <v>0.2131349146366104</v>
      </c>
      <c r="E168" s="52">
        <f t="shared" si="10"/>
        <v>0.00020813956507481486</v>
      </c>
      <c r="F168" s="15"/>
      <c r="G168" s="9"/>
      <c r="H168" s="52">
        <f t="shared" si="11"/>
        <v>0.00020813956507481486</v>
      </c>
      <c r="I168" s="51" t="s">
        <v>123</v>
      </c>
      <c r="J168" s="51" t="s">
        <v>28</v>
      </c>
    </row>
    <row r="169" spans="1:10" ht="12.75">
      <c r="A169" s="51" t="s">
        <v>25</v>
      </c>
      <c r="B169" s="100" t="s">
        <v>34</v>
      </c>
      <c r="C169" s="51" t="s">
        <v>27</v>
      </c>
      <c r="D169" s="52">
        <v>755.0443595945825</v>
      </c>
      <c r="E169" s="52">
        <f t="shared" si="10"/>
        <v>0.7373480074165845</v>
      </c>
      <c r="F169" s="15">
        <f>E169</f>
        <v>0.7373480074165845</v>
      </c>
      <c r="G169" s="9"/>
      <c r="H169" s="52">
        <f t="shared" si="11"/>
        <v>0.7373480074165845</v>
      </c>
      <c r="I169" s="51" t="s">
        <v>123</v>
      </c>
      <c r="J169" s="51" t="s">
        <v>28</v>
      </c>
    </row>
    <row r="170" spans="1:10" ht="12.75">
      <c r="A170" s="51" t="s">
        <v>25</v>
      </c>
      <c r="B170" s="51" t="s">
        <v>35</v>
      </c>
      <c r="C170" s="51" t="s">
        <v>27</v>
      </c>
      <c r="D170" s="52">
        <v>68.09700283408164</v>
      </c>
      <c r="E170" s="52">
        <f t="shared" si="10"/>
        <v>0.06650097933015785</v>
      </c>
      <c r="F170" s="15"/>
      <c r="G170" s="9"/>
      <c r="H170" s="95"/>
      <c r="I170" s="51" t="s">
        <v>123</v>
      </c>
      <c r="J170" s="51" t="s">
        <v>28</v>
      </c>
    </row>
    <row r="171" spans="1:10" ht="12.75">
      <c r="A171" s="51" t="s">
        <v>25</v>
      </c>
      <c r="B171" s="100" t="s">
        <v>36</v>
      </c>
      <c r="C171" s="51" t="s">
        <v>27</v>
      </c>
      <c r="D171" s="52">
        <v>15.062269121408448</v>
      </c>
      <c r="E171" s="52">
        <f t="shared" si="10"/>
        <v>0.014709247188875438</v>
      </c>
      <c r="F171" s="15">
        <f>E171</f>
        <v>0.014709247188875438</v>
      </c>
      <c r="G171" s="9"/>
      <c r="H171" s="52">
        <f t="shared" si="11"/>
        <v>0.014709247188875438</v>
      </c>
      <c r="I171" s="51" t="s">
        <v>123</v>
      </c>
      <c r="J171" s="51" t="s">
        <v>28</v>
      </c>
    </row>
    <row r="172" spans="1:10" ht="12.75">
      <c r="A172" s="51" t="s">
        <v>25</v>
      </c>
      <c r="B172" s="51" t="s">
        <v>37</v>
      </c>
      <c r="C172" s="51" t="s">
        <v>27</v>
      </c>
      <c r="D172" s="52">
        <v>9.117412984371184</v>
      </c>
      <c r="E172" s="52">
        <f t="shared" si="10"/>
        <v>0.008903723617549984</v>
      </c>
      <c r="F172" s="15"/>
      <c r="G172" s="9"/>
      <c r="H172" s="95"/>
      <c r="I172" s="51" t="s">
        <v>123</v>
      </c>
      <c r="J172" s="51" t="s">
        <v>28</v>
      </c>
    </row>
    <row r="173" spans="1:10" ht="12.75">
      <c r="A173" s="51" t="s">
        <v>25</v>
      </c>
      <c r="B173" s="100" t="s">
        <v>38</v>
      </c>
      <c r="C173" s="51" t="s">
        <v>27</v>
      </c>
      <c r="D173" s="52">
        <v>563.4698993563643</v>
      </c>
      <c r="E173" s="52">
        <f t="shared" si="10"/>
        <v>0.5502635735901995</v>
      </c>
      <c r="F173" s="15">
        <f>E173</f>
        <v>0.5502635735901995</v>
      </c>
      <c r="G173" s="9"/>
      <c r="H173" s="52">
        <f t="shared" si="11"/>
        <v>0.5502635735901995</v>
      </c>
      <c r="I173" s="51" t="s">
        <v>123</v>
      </c>
      <c r="J173" s="51" t="s">
        <v>28</v>
      </c>
    </row>
    <row r="174" spans="1:10" ht="12.75">
      <c r="A174" s="51" t="s">
        <v>25</v>
      </c>
      <c r="B174" s="51" t="s">
        <v>39</v>
      </c>
      <c r="C174" s="51" t="s">
        <v>27</v>
      </c>
      <c r="D174" s="52">
        <v>43.55523952841757</v>
      </c>
      <c r="E174" s="52">
        <f t="shared" si="10"/>
        <v>0.042534413601970286</v>
      </c>
      <c r="F174" s="15"/>
      <c r="G174" s="9"/>
      <c r="H174" s="95"/>
      <c r="I174" s="51" t="s">
        <v>123</v>
      </c>
      <c r="J174" s="51" t="s">
        <v>28</v>
      </c>
    </row>
    <row r="175" spans="1:10" ht="12.75">
      <c r="A175" s="51" t="s">
        <v>25</v>
      </c>
      <c r="B175" s="100" t="s">
        <v>40</v>
      </c>
      <c r="C175" s="51" t="s">
        <v>27</v>
      </c>
      <c r="D175" s="52">
        <v>296.47578832506997</v>
      </c>
      <c r="E175" s="52">
        <f t="shared" si="10"/>
        <v>0.28952713703620114</v>
      </c>
      <c r="F175" s="15">
        <f>E175</f>
        <v>0.28952713703620114</v>
      </c>
      <c r="G175" s="9"/>
      <c r="H175" s="52">
        <f t="shared" si="11"/>
        <v>0.28952713703620114</v>
      </c>
      <c r="I175" s="51" t="s">
        <v>123</v>
      </c>
      <c r="J175" s="51" t="s">
        <v>28</v>
      </c>
    </row>
    <row r="176" spans="1:10" ht="12.75">
      <c r="A176" s="51" t="s">
        <v>25</v>
      </c>
      <c r="B176" s="51" t="s">
        <v>41</v>
      </c>
      <c r="C176" s="51" t="s">
        <v>27</v>
      </c>
      <c r="D176" s="52">
        <v>15.587780803442001</v>
      </c>
      <c r="E176" s="52">
        <f t="shared" si="10"/>
        <v>0.01522244219086133</v>
      </c>
      <c r="F176" s="15"/>
      <c r="G176" s="9"/>
      <c r="H176" s="95"/>
      <c r="I176" s="51" t="s">
        <v>123</v>
      </c>
      <c r="J176" s="51" t="s">
        <v>28</v>
      </c>
    </row>
    <row r="177" spans="1:10" ht="12.75">
      <c r="A177" s="51" t="s">
        <v>25</v>
      </c>
      <c r="B177" s="100" t="s">
        <v>42</v>
      </c>
      <c r="C177" s="51" t="s">
        <v>27</v>
      </c>
      <c r="D177" s="52">
        <v>210.9708667397493</v>
      </c>
      <c r="E177" s="52">
        <f t="shared" si="10"/>
        <v>0.20602623705053644</v>
      </c>
      <c r="F177" s="15">
        <f>E177</f>
        <v>0.20602623705053644</v>
      </c>
      <c r="G177" s="9"/>
      <c r="H177" s="52">
        <f t="shared" si="11"/>
        <v>0.20602623705053644</v>
      </c>
      <c r="I177" s="51" t="s">
        <v>123</v>
      </c>
      <c r="J177" s="51" t="s">
        <v>28</v>
      </c>
    </row>
    <row r="178" spans="1:10" ht="12.75">
      <c r="A178" s="51" t="s">
        <v>25</v>
      </c>
      <c r="B178" s="51" t="s">
        <v>43</v>
      </c>
      <c r="C178" s="51" t="s">
        <v>27</v>
      </c>
      <c r="D178" s="52">
        <v>68.09682008624067</v>
      </c>
      <c r="E178" s="52">
        <f t="shared" si="10"/>
        <v>0.0665008008654694</v>
      </c>
      <c r="F178" s="15"/>
      <c r="G178" s="9"/>
      <c r="H178" s="95"/>
      <c r="I178" s="51" t="s">
        <v>123</v>
      </c>
      <c r="J178" s="51" t="s">
        <v>28</v>
      </c>
    </row>
    <row r="179" spans="1:10" ht="12.75">
      <c r="A179" s="51" t="s">
        <v>25</v>
      </c>
      <c r="B179" s="100" t="s">
        <v>44</v>
      </c>
      <c r="C179" s="51" t="s">
        <v>27</v>
      </c>
      <c r="D179" s="52">
        <v>6.271554380655287</v>
      </c>
      <c r="E179" s="52">
        <f t="shared" si="10"/>
        <v>0.006124564824858679</v>
      </c>
      <c r="F179" s="15">
        <f>E179</f>
        <v>0.006124564824858679</v>
      </c>
      <c r="G179" s="9"/>
      <c r="H179" s="52">
        <f t="shared" si="11"/>
        <v>0.006124564824858679</v>
      </c>
      <c r="I179" s="51" t="s">
        <v>123</v>
      </c>
      <c r="J179" s="51" t="s">
        <v>28</v>
      </c>
    </row>
    <row r="180" spans="1:10" ht="12.75">
      <c r="A180" s="51" t="s">
        <v>25</v>
      </c>
      <c r="B180" s="51" t="s">
        <v>117</v>
      </c>
      <c r="C180" s="51" t="s">
        <v>27</v>
      </c>
      <c r="D180" s="52">
        <v>9.116107195615763</v>
      </c>
      <c r="E180" s="52">
        <f t="shared" si="10"/>
        <v>0.008902448433218519</v>
      </c>
      <c r="F180" s="15"/>
      <c r="G180" s="9"/>
      <c r="H180" s="95"/>
      <c r="I180" s="51" t="s">
        <v>123</v>
      </c>
      <c r="J180" s="51" t="s">
        <v>28</v>
      </c>
    </row>
    <row r="181" spans="1:10" ht="12.75">
      <c r="A181" s="51" t="s">
        <v>25</v>
      </c>
      <c r="B181" s="100" t="s">
        <v>118</v>
      </c>
      <c r="C181" s="51" t="s">
        <v>27</v>
      </c>
      <c r="D181" s="52">
        <v>157.44882267713535</v>
      </c>
      <c r="E181" s="52">
        <f t="shared" si="10"/>
        <v>0.15375861589564</v>
      </c>
      <c r="F181" s="15">
        <f>E181</f>
        <v>0.15375861589564</v>
      </c>
      <c r="G181" s="9"/>
      <c r="H181" s="52">
        <f t="shared" si="11"/>
        <v>0.15375861589564</v>
      </c>
      <c r="I181" s="51" t="s">
        <v>123</v>
      </c>
      <c r="J181" s="51" t="s">
        <v>28</v>
      </c>
    </row>
    <row r="182" spans="1:10" ht="12.75">
      <c r="A182" s="51" t="s">
        <v>25</v>
      </c>
      <c r="B182" s="51" t="s">
        <v>119</v>
      </c>
      <c r="C182" s="51" t="s">
        <v>27</v>
      </c>
      <c r="D182" s="52">
        <v>43.555056780576614</v>
      </c>
      <c r="E182" s="52">
        <f t="shared" si="10"/>
        <v>0.04253423513728185</v>
      </c>
      <c r="F182" s="15"/>
      <c r="G182" s="9"/>
      <c r="H182" s="95"/>
      <c r="I182" s="51" t="s">
        <v>123</v>
      </c>
      <c r="J182" s="51" t="s">
        <v>28</v>
      </c>
    </row>
    <row r="183" spans="1:10" ht="12.75">
      <c r="A183" s="51" t="s">
        <v>25</v>
      </c>
      <c r="B183" s="100" t="s">
        <v>120</v>
      </c>
      <c r="C183" s="51" t="s">
        <v>27</v>
      </c>
      <c r="D183" s="52">
        <v>78.19534572958943</v>
      </c>
      <c r="E183" s="52">
        <f t="shared" si="10"/>
        <v>0.07636264231405218</v>
      </c>
      <c r="F183" s="15">
        <f>E183</f>
        <v>0.07636264231405218</v>
      </c>
      <c r="G183" s="9"/>
      <c r="H183" s="52">
        <f>E183</f>
        <v>0.07636264231405218</v>
      </c>
      <c r="I183" s="51" t="s">
        <v>123</v>
      </c>
      <c r="J183" s="51" t="s">
        <v>28</v>
      </c>
    </row>
    <row r="184" spans="1:10" ht="12.75">
      <c r="A184" s="51" t="s">
        <v>25</v>
      </c>
      <c r="B184" s="51" t="s">
        <v>121</v>
      </c>
      <c r="C184" s="51" t="s">
        <v>27</v>
      </c>
      <c r="D184" s="52">
        <v>15.587598055601116</v>
      </c>
      <c r="E184" s="52">
        <f t="shared" si="10"/>
        <v>0.015222263726172965</v>
      </c>
      <c r="F184" s="15"/>
      <c r="G184" s="9"/>
      <c r="H184" s="95"/>
      <c r="I184" s="51" t="s">
        <v>123</v>
      </c>
      <c r="J184" s="51" t="s">
        <v>28</v>
      </c>
    </row>
    <row r="185" spans="1:10" ht="13.5" thickBot="1">
      <c r="A185" s="58" t="s">
        <v>25</v>
      </c>
      <c r="B185" s="58" t="s">
        <v>273</v>
      </c>
      <c r="C185" s="59" t="s">
        <v>27</v>
      </c>
      <c r="D185" s="60">
        <v>1.7292221784591648</v>
      </c>
      <c r="E185" s="60">
        <f t="shared" si="10"/>
        <v>0.0016886935336515281</v>
      </c>
      <c r="F185" s="18">
        <f>E185</f>
        <v>0.0016886935336515281</v>
      </c>
      <c r="G185" s="10"/>
      <c r="H185" s="61" t="s">
        <v>122</v>
      </c>
      <c r="I185" s="59" t="s">
        <v>123</v>
      </c>
      <c r="J185" s="59" t="s">
        <v>28</v>
      </c>
    </row>
    <row r="186" spans="1:8" ht="12.75">
      <c r="A186" s="62"/>
      <c r="B186" s="62"/>
      <c r="C186" s="65" t="s">
        <v>209</v>
      </c>
      <c r="D186" s="66">
        <f>SUM(D163:D185)</f>
        <v>2358.939353764053</v>
      </c>
      <c r="E186" s="66">
        <f>SUM(E163:E185)</f>
        <v>2.303651712660208</v>
      </c>
      <c r="F186" s="19">
        <f>SUM(F163:F185)</f>
        <v>2.0358087188505993</v>
      </c>
      <c r="H186" s="63">
        <f>SUM(H163:H185)</f>
        <v>2.035641712223874</v>
      </c>
    </row>
    <row r="187" spans="1:3" ht="12.75">
      <c r="A187" s="62"/>
      <c r="B187" s="62"/>
      <c r="C187" s="73"/>
    </row>
    <row r="189" spans="1:77" s="37" customFormat="1" ht="12.75">
      <c r="A189" s="35"/>
      <c r="B189" s="35" t="s">
        <v>78</v>
      </c>
      <c r="C189" s="35"/>
      <c r="D189" s="36">
        <f>D186</f>
        <v>2358.939353764053</v>
      </c>
      <c r="E189" s="36">
        <f>E186</f>
        <v>2.303651712660208</v>
      </c>
      <c r="F189" s="36">
        <f>F186</f>
        <v>2.0358087188505993</v>
      </c>
      <c r="G189" s="36">
        <f>G186</f>
        <v>0</v>
      </c>
      <c r="H189" s="36">
        <f>H186</f>
        <v>2.035641712223874</v>
      </c>
      <c r="I189" s="35"/>
      <c r="J189" s="35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</row>
    <row r="190" spans="1:5" ht="12.75">
      <c r="A190" s="8"/>
      <c r="B190" s="8"/>
      <c r="C190" s="8"/>
      <c r="D190" s="30"/>
      <c r="E190" s="30"/>
    </row>
    <row r="191" spans="1:78" ht="12.75">
      <c r="A191" s="104" t="s">
        <v>285</v>
      </c>
      <c r="B191" s="96" t="s">
        <v>286</v>
      </c>
      <c r="C191" s="105" t="s">
        <v>287</v>
      </c>
      <c r="D191" s="105"/>
      <c r="E191" s="121">
        <f>(206/1024)/8</f>
        <v>0.025146484375</v>
      </c>
      <c r="F191" s="15">
        <f>E191</f>
        <v>0.025146484375</v>
      </c>
      <c r="G191" s="9"/>
      <c r="H191" s="113"/>
      <c r="I191" s="105" t="s">
        <v>123</v>
      </c>
      <c r="J191" s="105" t="s">
        <v>288</v>
      </c>
      <c r="K191" s="64"/>
      <c r="BZ191"/>
    </row>
    <row r="192" spans="1:10" ht="12.75">
      <c r="A192" s="104" t="s">
        <v>285</v>
      </c>
      <c r="B192" s="96" t="s">
        <v>318</v>
      </c>
      <c r="C192" s="105" t="s">
        <v>287</v>
      </c>
      <c r="D192" s="106"/>
      <c r="E192" s="121">
        <f>(232/1024)/8</f>
        <v>0.0283203125</v>
      </c>
      <c r="F192" s="17"/>
      <c r="G192" s="120"/>
      <c r="H192" s="52">
        <f aca="true" t="shared" si="12" ref="H192:H225">E192</f>
        <v>0.0283203125</v>
      </c>
      <c r="I192" s="105" t="s">
        <v>123</v>
      </c>
      <c r="J192" s="105" t="s">
        <v>288</v>
      </c>
    </row>
    <row r="193" spans="1:10" ht="12.75">
      <c r="A193" s="104" t="s">
        <v>285</v>
      </c>
      <c r="B193" s="96" t="s">
        <v>319</v>
      </c>
      <c r="C193" s="105" t="s">
        <v>287</v>
      </c>
      <c r="D193" s="106"/>
      <c r="E193" s="121">
        <f>(203/1024)/8</f>
        <v>0.0247802734375</v>
      </c>
      <c r="F193" s="9"/>
      <c r="G193" s="120"/>
      <c r="H193" s="52">
        <f t="shared" si="12"/>
        <v>0.0247802734375</v>
      </c>
      <c r="I193" s="105" t="s">
        <v>123</v>
      </c>
      <c r="J193" s="105" t="s">
        <v>288</v>
      </c>
    </row>
    <row r="194" spans="1:10" ht="12.75">
      <c r="A194" s="104" t="s">
        <v>285</v>
      </c>
      <c r="B194" s="96" t="s">
        <v>320</v>
      </c>
      <c r="C194" s="105" t="s">
        <v>287</v>
      </c>
      <c r="D194" s="106"/>
      <c r="E194" s="121">
        <f>(155/1024)/8</f>
        <v>0.0189208984375</v>
      </c>
      <c r="F194" s="9"/>
      <c r="G194" s="120"/>
      <c r="H194" s="52">
        <f t="shared" si="12"/>
        <v>0.0189208984375</v>
      </c>
      <c r="I194" s="105" t="s">
        <v>123</v>
      </c>
      <c r="J194" s="105" t="s">
        <v>288</v>
      </c>
    </row>
    <row r="195" spans="1:10" ht="12.75">
      <c r="A195" s="104" t="s">
        <v>285</v>
      </c>
      <c r="B195" s="96" t="s">
        <v>321</v>
      </c>
      <c r="C195" s="105" t="s">
        <v>287</v>
      </c>
      <c r="D195" s="106"/>
      <c r="E195" s="121">
        <f>(261/1024)/8</f>
        <v>0.0318603515625</v>
      </c>
      <c r="F195" s="9"/>
      <c r="G195" s="120"/>
      <c r="H195" s="52">
        <f t="shared" si="12"/>
        <v>0.0318603515625</v>
      </c>
      <c r="I195" s="105" t="s">
        <v>123</v>
      </c>
      <c r="J195" s="105" t="s">
        <v>288</v>
      </c>
    </row>
    <row r="196" spans="1:10" ht="12.75">
      <c r="A196" s="104" t="s">
        <v>285</v>
      </c>
      <c r="B196" s="96" t="s">
        <v>322</v>
      </c>
      <c r="C196" s="105" t="s">
        <v>287</v>
      </c>
      <c r="D196" s="106"/>
      <c r="E196" s="121">
        <f>(236/1024)/8</f>
        <v>0.02880859375</v>
      </c>
      <c r="F196" s="9"/>
      <c r="G196" s="120"/>
      <c r="H196" s="52">
        <f t="shared" si="12"/>
        <v>0.02880859375</v>
      </c>
      <c r="I196" s="105" t="s">
        <v>123</v>
      </c>
      <c r="J196" s="105" t="s">
        <v>288</v>
      </c>
    </row>
    <row r="197" spans="1:10" ht="12.75">
      <c r="A197" s="104" t="s">
        <v>285</v>
      </c>
      <c r="B197" s="96" t="s">
        <v>323</v>
      </c>
      <c r="C197" s="105" t="s">
        <v>287</v>
      </c>
      <c r="D197" s="106"/>
      <c r="E197" s="121">
        <f>(178/1024)/8</f>
        <v>0.021728515625</v>
      </c>
      <c r="F197" s="9"/>
      <c r="G197" s="120"/>
      <c r="H197" s="52">
        <f t="shared" si="12"/>
        <v>0.021728515625</v>
      </c>
      <c r="I197" s="105" t="s">
        <v>123</v>
      </c>
      <c r="J197" s="105" t="s">
        <v>288</v>
      </c>
    </row>
    <row r="198" spans="1:10" ht="12.75">
      <c r="A198" s="104" t="s">
        <v>285</v>
      </c>
      <c r="B198" s="96" t="s">
        <v>324</v>
      </c>
      <c r="C198" s="105" t="s">
        <v>287</v>
      </c>
      <c r="D198" s="106"/>
      <c r="E198" s="121">
        <f>(211/1024)/8</f>
        <v>0.0257568359375</v>
      </c>
      <c r="F198" s="9"/>
      <c r="G198" s="120"/>
      <c r="H198" s="52">
        <f t="shared" si="12"/>
        <v>0.0257568359375</v>
      </c>
      <c r="I198" s="105" t="s">
        <v>123</v>
      </c>
      <c r="J198" s="105" t="s">
        <v>288</v>
      </c>
    </row>
    <row r="199" spans="1:10" ht="12.75">
      <c r="A199" s="104" t="s">
        <v>285</v>
      </c>
      <c r="B199" s="96" t="s">
        <v>325</v>
      </c>
      <c r="C199" s="105" t="s">
        <v>287</v>
      </c>
      <c r="D199" s="106"/>
      <c r="E199" s="121">
        <f>(178/1024)/8</f>
        <v>0.021728515625</v>
      </c>
      <c r="F199" s="9"/>
      <c r="G199" s="120"/>
      <c r="H199" s="52">
        <f t="shared" si="12"/>
        <v>0.021728515625</v>
      </c>
      <c r="I199" s="105" t="s">
        <v>123</v>
      </c>
      <c r="J199" s="105" t="s">
        <v>288</v>
      </c>
    </row>
    <row r="200" spans="1:10" ht="12.75">
      <c r="A200" s="104" t="s">
        <v>285</v>
      </c>
      <c r="B200" s="96" t="s">
        <v>326</v>
      </c>
      <c r="C200" s="105" t="s">
        <v>287</v>
      </c>
      <c r="D200" s="106"/>
      <c r="E200" s="121">
        <f>(132/1024)/8</f>
        <v>0.01611328125</v>
      </c>
      <c r="F200" s="9"/>
      <c r="G200" s="120"/>
      <c r="H200" s="52">
        <f t="shared" si="12"/>
        <v>0.01611328125</v>
      </c>
      <c r="I200" s="105" t="s">
        <v>123</v>
      </c>
      <c r="J200" s="105" t="s">
        <v>288</v>
      </c>
    </row>
    <row r="201" spans="1:10" ht="12.75">
      <c r="A201" s="104" t="s">
        <v>285</v>
      </c>
      <c r="B201" s="96" t="s">
        <v>327</v>
      </c>
      <c r="C201" s="105" t="s">
        <v>287</v>
      </c>
      <c r="D201" s="106"/>
      <c r="E201" s="121">
        <f>(225/1024)/8</f>
        <v>0.0274658203125</v>
      </c>
      <c r="F201" s="9"/>
      <c r="G201" s="120"/>
      <c r="H201" s="52">
        <f t="shared" si="12"/>
        <v>0.0274658203125</v>
      </c>
      <c r="I201" s="105" t="s">
        <v>123</v>
      </c>
      <c r="J201" s="105" t="s">
        <v>288</v>
      </c>
    </row>
    <row r="202" spans="1:10" ht="12.75">
      <c r="A202" s="104" t="s">
        <v>285</v>
      </c>
      <c r="B202" s="96" t="s">
        <v>328</v>
      </c>
      <c r="C202" s="105" t="s">
        <v>287</v>
      </c>
      <c r="D202" s="106"/>
      <c r="E202" s="121">
        <f>(201/1024)/8</f>
        <v>0.0245361328125</v>
      </c>
      <c r="F202" s="9"/>
      <c r="G202" s="120"/>
      <c r="H202" s="52">
        <f t="shared" si="12"/>
        <v>0.0245361328125</v>
      </c>
      <c r="I202" s="105" t="s">
        <v>123</v>
      </c>
      <c r="J202" s="105" t="s">
        <v>288</v>
      </c>
    </row>
    <row r="203" spans="1:10" ht="12.75">
      <c r="A203" s="104" t="s">
        <v>285</v>
      </c>
      <c r="B203" s="96" t="s">
        <v>329</v>
      </c>
      <c r="C203" s="105" t="s">
        <v>287</v>
      </c>
      <c r="D203" s="106"/>
      <c r="E203" s="121">
        <f>(149/1024)/8</f>
        <v>0.0181884765625</v>
      </c>
      <c r="F203" s="9"/>
      <c r="G203" s="120"/>
      <c r="H203" s="52">
        <f t="shared" si="12"/>
        <v>0.0181884765625</v>
      </c>
      <c r="I203" s="105" t="s">
        <v>123</v>
      </c>
      <c r="J203" s="105" t="s">
        <v>288</v>
      </c>
    </row>
    <row r="204" spans="1:10" ht="12.75">
      <c r="A204" s="104" t="s">
        <v>285</v>
      </c>
      <c r="B204" s="96" t="s">
        <v>330</v>
      </c>
      <c r="C204" s="105" t="s">
        <v>287</v>
      </c>
      <c r="D204" s="106"/>
      <c r="E204" s="121">
        <f>(260/1024)/8</f>
        <v>0.03173828125</v>
      </c>
      <c r="F204" s="9"/>
      <c r="G204" s="120"/>
      <c r="H204" s="52">
        <f t="shared" si="12"/>
        <v>0.03173828125</v>
      </c>
      <c r="I204" s="105" t="s">
        <v>123</v>
      </c>
      <c r="J204" s="105" t="s">
        <v>288</v>
      </c>
    </row>
    <row r="205" spans="1:10" ht="12.75">
      <c r="A205" s="104" t="s">
        <v>285</v>
      </c>
      <c r="B205" s="96" t="s">
        <v>331</v>
      </c>
      <c r="C205" s="105" t="s">
        <v>287</v>
      </c>
      <c r="D205" s="106"/>
      <c r="E205" s="121">
        <f>(236/1024)/8</f>
        <v>0.02880859375</v>
      </c>
      <c r="F205" s="9"/>
      <c r="G205" s="120"/>
      <c r="H205" s="52">
        <f t="shared" si="12"/>
        <v>0.02880859375</v>
      </c>
      <c r="I205" s="105" t="s">
        <v>123</v>
      </c>
      <c r="J205" s="105" t="s">
        <v>288</v>
      </c>
    </row>
    <row r="206" spans="1:10" ht="12.75">
      <c r="A206" s="104" t="s">
        <v>285</v>
      </c>
      <c r="B206" s="96" t="s">
        <v>332</v>
      </c>
      <c r="C206" s="105" t="s">
        <v>287</v>
      </c>
      <c r="D206" s="106"/>
      <c r="E206" s="121">
        <f>(184/1024)/8</f>
        <v>0.0224609375</v>
      </c>
      <c r="F206" s="9"/>
      <c r="G206" s="120"/>
      <c r="H206" s="52">
        <f t="shared" si="12"/>
        <v>0.0224609375</v>
      </c>
      <c r="I206" s="105" t="s">
        <v>123</v>
      </c>
      <c r="J206" s="105" t="s">
        <v>288</v>
      </c>
    </row>
    <row r="207" spans="1:10" ht="12.75">
      <c r="A207" s="104" t="s">
        <v>285</v>
      </c>
      <c r="B207" s="96" t="s">
        <v>10</v>
      </c>
      <c r="C207" s="105" t="s">
        <v>287</v>
      </c>
      <c r="D207" s="106"/>
      <c r="E207" s="121">
        <f>(253/1024)/8</f>
        <v>0.0308837890625</v>
      </c>
      <c r="F207" s="9"/>
      <c r="G207" s="120"/>
      <c r="H207" s="52">
        <f t="shared" si="12"/>
        <v>0.0308837890625</v>
      </c>
      <c r="I207" s="105" t="s">
        <v>123</v>
      </c>
      <c r="J207" s="105" t="s">
        <v>288</v>
      </c>
    </row>
    <row r="208" spans="1:10" ht="12.75">
      <c r="A208" s="104" t="s">
        <v>285</v>
      </c>
      <c r="B208" s="96" t="s">
        <v>11</v>
      </c>
      <c r="C208" s="105" t="s">
        <v>287</v>
      </c>
      <c r="D208" s="106"/>
      <c r="E208" s="121">
        <f>(228/1024)/8</f>
        <v>0.02783203125</v>
      </c>
      <c r="F208" s="9"/>
      <c r="G208" s="120"/>
      <c r="H208" s="52">
        <f t="shared" si="12"/>
        <v>0.02783203125</v>
      </c>
      <c r="I208" s="105" t="s">
        <v>123</v>
      </c>
      <c r="J208" s="105" t="s">
        <v>288</v>
      </c>
    </row>
    <row r="209" spans="1:10" ht="12.75">
      <c r="A209" s="104" t="s">
        <v>285</v>
      </c>
      <c r="B209" s="96" t="s">
        <v>12</v>
      </c>
      <c r="C209" s="105" t="s">
        <v>287</v>
      </c>
      <c r="D209" s="106"/>
      <c r="E209" s="121">
        <f>(181/1024)/8</f>
        <v>0.0220947265625</v>
      </c>
      <c r="F209" s="9"/>
      <c r="G209" s="120"/>
      <c r="H209" s="52">
        <f t="shared" si="12"/>
        <v>0.0220947265625</v>
      </c>
      <c r="I209" s="105" t="s">
        <v>123</v>
      </c>
      <c r="J209" s="105" t="s">
        <v>288</v>
      </c>
    </row>
    <row r="210" spans="1:10" ht="12.75">
      <c r="A210" s="104" t="s">
        <v>285</v>
      </c>
      <c r="B210" s="96" t="s">
        <v>13</v>
      </c>
      <c r="C210" s="105" t="s">
        <v>287</v>
      </c>
      <c r="D210" s="106"/>
      <c r="E210" s="121">
        <f>(241/1024)/8</f>
        <v>0.0294189453125</v>
      </c>
      <c r="F210" s="9"/>
      <c r="G210" s="120"/>
      <c r="H210" s="52">
        <f t="shared" si="12"/>
        <v>0.0294189453125</v>
      </c>
      <c r="I210" s="105" t="s">
        <v>123</v>
      </c>
      <c r="J210" s="105" t="s">
        <v>288</v>
      </c>
    </row>
    <row r="211" spans="1:10" ht="12.75">
      <c r="A211" s="104" t="s">
        <v>285</v>
      </c>
      <c r="B211" s="96" t="s">
        <v>14</v>
      </c>
      <c r="C211" s="105" t="s">
        <v>287</v>
      </c>
      <c r="D211" s="106"/>
      <c r="E211" s="121">
        <f>(207/1024)/8</f>
        <v>0.0252685546875</v>
      </c>
      <c r="F211" s="9"/>
      <c r="G211" s="120"/>
      <c r="H211" s="52">
        <f t="shared" si="12"/>
        <v>0.0252685546875</v>
      </c>
      <c r="I211" s="105" t="s">
        <v>123</v>
      </c>
      <c r="J211" s="105" t="s">
        <v>288</v>
      </c>
    </row>
    <row r="212" spans="1:10" ht="12.75">
      <c r="A212" s="104" t="s">
        <v>285</v>
      </c>
      <c r="B212" s="96" t="s">
        <v>15</v>
      </c>
      <c r="C212" s="105" t="s">
        <v>287</v>
      </c>
      <c r="D212" s="106"/>
      <c r="E212" s="121">
        <f>(169/1024)/8</f>
        <v>0.0206298828125</v>
      </c>
      <c r="F212" s="9"/>
      <c r="G212" s="120"/>
      <c r="H212" s="52">
        <f t="shared" si="12"/>
        <v>0.0206298828125</v>
      </c>
      <c r="I212" s="105" t="s">
        <v>123</v>
      </c>
      <c r="J212" s="105" t="s">
        <v>288</v>
      </c>
    </row>
    <row r="213" spans="1:10" ht="12.75">
      <c r="A213" s="104" t="s">
        <v>285</v>
      </c>
      <c r="B213" s="96" t="s">
        <v>16</v>
      </c>
      <c r="C213" s="105" t="s">
        <v>287</v>
      </c>
      <c r="D213" s="106"/>
      <c r="E213" s="121">
        <f>(220/1024)/8</f>
        <v>0.02685546875</v>
      </c>
      <c r="F213" s="9"/>
      <c r="G213" s="120"/>
      <c r="H213" s="52">
        <f t="shared" si="12"/>
        <v>0.02685546875</v>
      </c>
      <c r="I213" s="105" t="s">
        <v>123</v>
      </c>
      <c r="J213" s="105" t="s">
        <v>288</v>
      </c>
    </row>
    <row r="214" spans="1:10" ht="12.75">
      <c r="A214" s="104" t="s">
        <v>285</v>
      </c>
      <c r="B214" s="96" t="s">
        <v>17</v>
      </c>
      <c r="C214" s="105" t="s">
        <v>287</v>
      </c>
      <c r="D214" s="106"/>
      <c r="E214" s="121">
        <f>(200/1024)/8</f>
        <v>0.0244140625</v>
      </c>
      <c r="F214" s="9"/>
      <c r="G214" s="120"/>
      <c r="H214" s="52">
        <f t="shared" si="12"/>
        <v>0.0244140625</v>
      </c>
      <c r="I214" s="105" t="s">
        <v>123</v>
      </c>
      <c r="J214" s="105" t="s">
        <v>288</v>
      </c>
    </row>
    <row r="215" spans="1:10" ht="12.75">
      <c r="A215" s="104" t="s">
        <v>285</v>
      </c>
      <c r="B215" s="96" t="s">
        <v>18</v>
      </c>
      <c r="C215" s="105" t="s">
        <v>287</v>
      </c>
      <c r="D215" s="106"/>
      <c r="E215" s="121">
        <f>(146/1024)/8</f>
        <v>0.017822265625</v>
      </c>
      <c r="F215" s="9"/>
      <c r="G215" s="120"/>
      <c r="H215" s="52">
        <f t="shared" si="12"/>
        <v>0.017822265625</v>
      </c>
      <c r="I215" s="105" t="s">
        <v>123</v>
      </c>
      <c r="J215" s="105" t="s">
        <v>288</v>
      </c>
    </row>
    <row r="216" spans="1:10" ht="12.75">
      <c r="A216" s="104" t="s">
        <v>285</v>
      </c>
      <c r="B216" s="96" t="s">
        <v>169</v>
      </c>
      <c r="C216" s="105" t="s">
        <v>287</v>
      </c>
      <c r="D216" s="106"/>
      <c r="E216" s="121">
        <f>(251/1024)/8</f>
        <v>0.0306396484375</v>
      </c>
      <c r="F216" s="9"/>
      <c r="G216" s="120"/>
      <c r="H216" s="52">
        <f t="shared" si="12"/>
        <v>0.0306396484375</v>
      </c>
      <c r="I216" s="105" t="s">
        <v>123</v>
      </c>
      <c r="J216" s="105" t="s">
        <v>288</v>
      </c>
    </row>
    <row r="217" spans="1:10" ht="12.75">
      <c r="A217" s="104" t="s">
        <v>285</v>
      </c>
      <c r="B217" s="96" t="s">
        <v>170</v>
      </c>
      <c r="C217" s="105" t="s">
        <v>287</v>
      </c>
      <c r="D217" s="106"/>
      <c r="E217" s="121">
        <f>(236/1024)/8</f>
        <v>0.02880859375</v>
      </c>
      <c r="F217" s="9"/>
      <c r="G217" s="120"/>
      <c r="H217" s="52">
        <f t="shared" si="12"/>
        <v>0.02880859375</v>
      </c>
      <c r="I217" s="105" t="s">
        <v>123</v>
      </c>
      <c r="J217" s="105" t="s">
        <v>288</v>
      </c>
    </row>
    <row r="218" spans="1:10" ht="12.75">
      <c r="A218" s="104" t="s">
        <v>285</v>
      </c>
      <c r="B218" s="96" t="s">
        <v>171</v>
      </c>
      <c r="C218" s="105" t="s">
        <v>287</v>
      </c>
      <c r="D218" s="106"/>
      <c r="E218" s="121">
        <f>(177/1024)/8</f>
        <v>0.0216064453125</v>
      </c>
      <c r="F218" s="9"/>
      <c r="G218" s="120"/>
      <c r="H218" s="52">
        <f t="shared" si="12"/>
        <v>0.0216064453125</v>
      </c>
      <c r="I218" s="105" t="s">
        <v>123</v>
      </c>
      <c r="J218" s="105" t="s">
        <v>288</v>
      </c>
    </row>
    <row r="219" spans="1:10" ht="12.75">
      <c r="A219" s="104" t="s">
        <v>285</v>
      </c>
      <c r="B219" s="96" t="s">
        <v>172</v>
      </c>
      <c r="C219" s="105" t="s">
        <v>287</v>
      </c>
      <c r="D219" s="106"/>
      <c r="E219" s="121">
        <f>(236/1024)/8</f>
        <v>0.02880859375</v>
      </c>
      <c r="F219" s="9"/>
      <c r="G219" s="120"/>
      <c r="H219" s="52">
        <f t="shared" si="12"/>
        <v>0.02880859375</v>
      </c>
      <c r="I219" s="105" t="s">
        <v>123</v>
      </c>
      <c r="J219" s="105" t="s">
        <v>288</v>
      </c>
    </row>
    <row r="220" spans="1:10" ht="12.75">
      <c r="A220" s="104" t="s">
        <v>285</v>
      </c>
      <c r="B220" s="96" t="s">
        <v>173</v>
      </c>
      <c r="C220" s="105" t="s">
        <v>287</v>
      </c>
      <c r="D220" s="106"/>
      <c r="E220" s="121">
        <f>(221/1024)/8</f>
        <v>0.0269775390625</v>
      </c>
      <c r="F220" s="9"/>
      <c r="G220" s="120"/>
      <c r="H220" s="52">
        <f t="shared" si="12"/>
        <v>0.0269775390625</v>
      </c>
      <c r="I220" s="105" t="s">
        <v>123</v>
      </c>
      <c r="J220" s="105" t="s">
        <v>288</v>
      </c>
    </row>
    <row r="221" spans="1:10" ht="12.75">
      <c r="A221" s="104" t="s">
        <v>285</v>
      </c>
      <c r="B221" s="96" t="s">
        <v>174</v>
      </c>
      <c r="C221" s="105" t="s">
        <v>287</v>
      </c>
      <c r="D221" s="106"/>
      <c r="E221" s="121">
        <f>(162/1024)/8</f>
        <v>0.019775390625</v>
      </c>
      <c r="F221" s="9"/>
      <c r="G221" s="120"/>
      <c r="H221" s="52">
        <f t="shared" si="12"/>
        <v>0.019775390625</v>
      </c>
      <c r="I221" s="105" t="s">
        <v>123</v>
      </c>
      <c r="J221" s="105" t="s">
        <v>288</v>
      </c>
    </row>
    <row r="222" spans="1:10" ht="12.75">
      <c r="A222" s="104" t="s">
        <v>285</v>
      </c>
      <c r="B222" s="96" t="s">
        <v>175</v>
      </c>
      <c r="C222" s="105" t="s">
        <v>287</v>
      </c>
      <c r="D222" s="106"/>
      <c r="E222" s="121">
        <f>(32/1024)/8</f>
        <v>0.00390625</v>
      </c>
      <c r="F222" s="9"/>
      <c r="G222" s="120"/>
      <c r="H222" s="52">
        <f t="shared" si="12"/>
        <v>0.00390625</v>
      </c>
      <c r="I222" s="105" t="s">
        <v>123</v>
      </c>
      <c r="J222" s="105" t="s">
        <v>288</v>
      </c>
    </row>
    <row r="223" spans="1:10" ht="12.75">
      <c r="A223" s="104" t="s">
        <v>285</v>
      </c>
      <c r="B223" s="96" t="s">
        <v>176</v>
      </c>
      <c r="C223" s="105" t="s">
        <v>287</v>
      </c>
      <c r="D223" s="106"/>
      <c r="E223" s="121">
        <f>(14/1024)/8</f>
        <v>0.001708984375</v>
      </c>
      <c r="F223" s="9"/>
      <c r="G223" s="120"/>
      <c r="H223" s="52">
        <f t="shared" si="12"/>
        <v>0.001708984375</v>
      </c>
      <c r="I223" s="105" t="s">
        <v>123</v>
      </c>
      <c r="J223" s="105" t="s">
        <v>288</v>
      </c>
    </row>
    <row r="224" spans="1:10" ht="12.75">
      <c r="A224" s="104" t="s">
        <v>285</v>
      </c>
      <c r="B224" s="96" t="s">
        <v>177</v>
      </c>
      <c r="C224" s="105" t="s">
        <v>287</v>
      </c>
      <c r="D224" s="106"/>
      <c r="E224" s="121">
        <f>(23/1024)/8</f>
        <v>0.0028076171875</v>
      </c>
      <c r="F224" s="9"/>
      <c r="G224" s="120"/>
      <c r="H224" s="52">
        <f t="shared" si="12"/>
        <v>0.0028076171875</v>
      </c>
      <c r="I224" s="105" t="s">
        <v>123</v>
      </c>
      <c r="J224" s="105" t="s">
        <v>288</v>
      </c>
    </row>
    <row r="225" spans="1:10" ht="12.75">
      <c r="A225" s="104" t="s">
        <v>285</v>
      </c>
      <c r="B225" s="96" t="s">
        <v>178</v>
      </c>
      <c r="C225" s="105" t="s">
        <v>287</v>
      </c>
      <c r="D225" s="106"/>
      <c r="E225" s="121">
        <f>(15/1024)/8</f>
        <v>0.0018310546875</v>
      </c>
      <c r="F225" s="9"/>
      <c r="G225" s="120"/>
      <c r="H225" s="52">
        <f t="shared" si="12"/>
        <v>0.0018310546875</v>
      </c>
      <c r="I225" s="105" t="s">
        <v>123</v>
      </c>
      <c r="J225" s="105" t="s">
        <v>288</v>
      </c>
    </row>
    <row r="226" spans="1:78" ht="13.5" thickBot="1">
      <c r="A226" s="108" t="s">
        <v>285</v>
      </c>
      <c r="B226" s="97" t="s">
        <v>289</v>
      </c>
      <c r="C226" s="109" t="s">
        <v>287</v>
      </c>
      <c r="D226" s="109"/>
      <c r="E226" s="122">
        <f>(195/1024)/8</f>
        <v>0.0238037109375</v>
      </c>
      <c r="F226" s="18">
        <f>E226</f>
        <v>0.0238037109375</v>
      </c>
      <c r="G226" s="10"/>
      <c r="H226" s="112"/>
      <c r="I226" s="109" t="s">
        <v>123</v>
      </c>
      <c r="J226" s="109" t="s">
        <v>288</v>
      </c>
      <c r="K226" s="64"/>
      <c r="BZ226"/>
    </row>
    <row r="227" spans="1:78" ht="12.75">
      <c r="A227" s="111"/>
      <c r="B227" s="111"/>
      <c r="C227" s="111" t="s">
        <v>209</v>
      </c>
      <c r="D227" s="111"/>
      <c r="E227" s="19">
        <f>SUM(E191:E226)</f>
        <v>0.812255859375</v>
      </c>
      <c r="F227" s="19">
        <f>SUM(F191:F226)</f>
        <v>0.0489501953125</v>
      </c>
      <c r="H227" s="19">
        <f>SUM(H191:H226)</f>
        <v>0.7633056640625</v>
      </c>
      <c r="I227" s="111"/>
      <c r="J227" s="111"/>
      <c r="K227" s="64"/>
      <c r="BZ227"/>
    </row>
    <row r="228" spans="1:5" ht="12.75">
      <c r="A228" s="8"/>
      <c r="B228" s="8"/>
      <c r="C228" s="8"/>
      <c r="D228" s="30"/>
      <c r="E228" s="30"/>
    </row>
    <row r="229" spans="1:77" s="71" customFormat="1" ht="12.75">
      <c r="A229" s="104" t="s">
        <v>290</v>
      </c>
      <c r="B229" s="96" t="s">
        <v>291</v>
      </c>
      <c r="C229" s="105" t="s">
        <v>287</v>
      </c>
      <c r="D229" s="114"/>
      <c r="E229" s="115">
        <f>(37/1024)/8</f>
        <v>0.0045166015625</v>
      </c>
      <c r="F229" s="107">
        <f>E229</f>
        <v>0.0045166015625</v>
      </c>
      <c r="G229" s="9"/>
      <c r="H229" s="118"/>
      <c r="I229" s="105" t="s">
        <v>123</v>
      </c>
      <c r="J229" s="105" t="s">
        <v>288</v>
      </c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</row>
    <row r="230" spans="1:77" s="71" customFormat="1" ht="13.5" thickBot="1">
      <c r="A230" s="108" t="s">
        <v>290</v>
      </c>
      <c r="B230" s="97" t="s">
        <v>292</v>
      </c>
      <c r="C230" s="109" t="s">
        <v>287</v>
      </c>
      <c r="D230" s="116"/>
      <c r="E230" s="117">
        <f>(16/1024)/8</f>
        <v>0.001953125</v>
      </c>
      <c r="F230" s="110">
        <f>E230</f>
        <v>0.001953125</v>
      </c>
      <c r="G230" s="10"/>
      <c r="H230" s="119"/>
      <c r="I230" s="109" t="s">
        <v>123</v>
      </c>
      <c r="J230" s="109" t="s">
        <v>288</v>
      </c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</row>
    <row r="231" spans="1:77" s="71" customFormat="1" ht="12.75">
      <c r="A231" s="8"/>
      <c r="B231" s="8"/>
      <c r="C231" s="8" t="s">
        <v>209</v>
      </c>
      <c r="D231" s="30"/>
      <c r="E231" s="30">
        <f>SUM(E229:E230)</f>
        <v>0.0064697265625</v>
      </c>
      <c r="F231" s="19">
        <f>SUM(F229:F230)</f>
        <v>0.0064697265625</v>
      </c>
      <c r="G231" s="20"/>
      <c r="H231" s="30">
        <f>SUM(H229:H230)</f>
        <v>0</v>
      </c>
      <c r="I231" s="8"/>
      <c r="J231" s="8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</row>
    <row r="232" spans="1:77" s="71" customFormat="1" ht="12.75">
      <c r="A232" s="8"/>
      <c r="B232" s="8"/>
      <c r="C232" s="8"/>
      <c r="D232" s="30"/>
      <c r="E232" s="30"/>
      <c r="F232" s="19"/>
      <c r="G232" s="20"/>
      <c r="H232" s="30"/>
      <c r="I232" s="8"/>
      <c r="J232" s="8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</row>
    <row r="233" spans="1:77" s="37" customFormat="1" ht="12.75">
      <c r="A233" s="35"/>
      <c r="B233" s="35" t="s">
        <v>293</v>
      </c>
      <c r="C233" s="35"/>
      <c r="D233" s="36">
        <f>D230</f>
        <v>0</v>
      </c>
      <c r="E233" s="36">
        <f>E231+E227</f>
        <v>0.8187255859375</v>
      </c>
      <c r="F233" s="36">
        <f>F231+F227</f>
        <v>0.055419921875</v>
      </c>
      <c r="G233" s="36">
        <f>G231+G227</f>
        <v>0</v>
      </c>
      <c r="H233" s="36">
        <f>H231+H227</f>
        <v>0.7633056640625</v>
      </c>
      <c r="I233" s="35"/>
      <c r="J233" s="35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</row>
    <row r="234" spans="1:5" ht="12.75">
      <c r="A234" s="8"/>
      <c r="B234" s="8"/>
      <c r="C234" s="8"/>
      <c r="D234" s="30"/>
      <c r="E234" s="30"/>
    </row>
    <row r="235" spans="1:5" ht="12.75">
      <c r="A235" s="8"/>
      <c r="B235" s="8"/>
      <c r="C235" s="8"/>
      <c r="D235" s="30"/>
      <c r="E235" s="30"/>
    </row>
    <row r="236" spans="1:5" ht="12.75">
      <c r="A236" s="8"/>
      <c r="B236" s="8"/>
      <c r="C236" s="8"/>
      <c r="D236" s="30"/>
      <c r="E236" s="30"/>
    </row>
    <row r="237" spans="1:10" ht="12.75">
      <c r="A237" s="50" t="s">
        <v>162</v>
      </c>
      <c r="B237" s="50" t="s">
        <v>163</v>
      </c>
      <c r="C237" s="51" t="s">
        <v>164</v>
      </c>
      <c r="D237" s="52">
        <v>0.27523106336593617</v>
      </c>
      <c r="E237" s="52">
        <f aca="true" t="shared" si="13" ref="E237:E242">D237/1024</f>
        <v>0.00026878033531829704</v>
      </c>
      <c r="F237" s="15"/>
      <c r="G237" s="9"/>
      <c r="H237" s="53"/>
      <c r="I237" s="51" t="s">
        <v>262</v>
      </c>
      <c r="J237" s="51" t="s">
        <v>165</v>
      </c>
    </row>
    <row r="238" spans="1:10" ht="12.75">
      <c r="A238" s="50" t="s">
        <v>162</v>
      </c>
      <c r="B238" s="50" t="s">
        <v>166</v>
      </c>
      <c r="C238" s="51" t="s">
        <v>167</v>
      </c>
      <c r="D238" s="52">
        <v>0.2662625312805173</v>
      </c>
      <c r="E238" s="52">
        <f t="shared" si="13"/>
        <v>0.0002600220032036302</v>
      </c>
      <c r="F238" s="15"/>
      <c r="G238" s="9"/>
      <c r="H238" s="53"/>
      <c r="I238" s="51" t="s">
        <v>262</v>
      </c>
      <c r="J238" s="51" t="s">
        <v>165</v>
      </c>
    </row>
    <row r="239" spans="1:10" ht="12.75">
      <c r="A239" s="50" t="s">
        <v>162</v>
      </c>
      <c r="B239" s="96" t="s">
        <v>168</v>
      </c>
      <c r="C239" s="51" t="s">
        <v>0</v>
      </c>
      <c r="D239" s="52">
        <v>501.27078711986536</v>
      </c>
      <c r="E239" s="52">
        <f t="shared" si="13"/>
        <v>0.4895222530467435</v>
      </c>
      <c r="F239" s="15">
        <f>E239</f>
        <v>0.4895222530467435</v>
      </c>
      <c r="G239" s="9"/>
      <c r="H239" s="53"/>
      <c r="I239" s="51" t="s">
        <v>262</v>
      </c>
      <c r="J239" s="51" t="s">
        <v>165</v>
      </c>
    </row>
    <row r="240" spans="1:10" ht="12.75">
      <c r="A240" s="50" t="s">
        <v>1</v>
      </c>
      <c r="B240" s="96" t="s">
        <v>2</v>
      </c>
      <c r="C240" s="51" t="s">
        <v>0</v>
      </c>
      <c r="D240" s="52">
        <v>1695.499359130859</v>
      </c>
      <c r="E240" s="52">
        <f t="shared" si="13"/>
        <v>1.6557610929012294</v>
      </c>
      <c r="F240" s="15">
        <f>E240</f>
        <v>1.6557610929012294</v>
      </c>
      <c r="G240" s="9"/>
      <c r="H240" s="53"/>
      <c r="I240" s="51" t="s">
        <v>262</v>
      </c>
      <c r="J240" s="51" t="s">
        <v>165</v>
      </c>
    </row>
    <row r="241" spans="1:10" ht="13.5" thickBot="1">
      <c r="A241" s="58" t="s">
        <v>162</v>
      </c>
      <c r="B241" s="58" t="s">
        <v>273</v>
      </c>
      <c r="C241" s="59" t="s">
        <v>0</v>
      </c>
      <c r="D241" s="60">
        <v>0.568785727024078</v>
      </c>
      <c r="E241" s="60">
        <f t="shared" si="13"/>
        <v>0.0005554548115469512</v>
      </c>
      <c r="F241" s="18">
        <f>E241</f>
        <v>0.0005554548115469512</v>
      </c>
      <c r="G241" s="10"/>
      <c r="H241" s="61" t="s">
        <v>122</v>
      </c>
      <c r="I241" s="59" t="s">
        <v>262</v>
      </c>
      <c r="J241" s="59" t="s">
        <v>165</v>
      </c>
    </row>
    <row r="242" spans="1:8" ht="12.75">
      <c r="A242" s="62"/>
      <c r="B242" s="62"/>
      <c r="C242" s="65" t="s">
        <v>209</v>
      </c>
      <c r="D242" s="66">
        <f>SUM(D237:D241)</f>
        <v>2197.880425572395</v>
      </c>
      <c r="E242" s="66">
        <f t="shared" si="13"/>
        <v>2.146367603098042</v>
      </c>
      <c r="F242" s="19">
        <f>SUM(F237:F241)</f>
        <v>2.14583880075952</v>
      </c>
      <c r="H242" s="63">
        <f>SUM(H237:H241)</f>
        <v>0</v>
      </c>
    </row>
    <row r="245" spans="1:10" ht="12.75">
      <c r="A245" s="50" t="s">
        <v>3</v>
      </c>
      <c r="B245" s="50" t="s">
        <v>4</v>
      </c>
      <c r="C245" s="51" t="s">
        <v>0</v>
      </c>
      <c r="D245" s="52">
        <v>0.27523106336593617</v>
      </c>
      <c r="E245" s="52">
        <f aca="true" t="shared" si="14" ref="E245:E250">D245/1024</f>
        <v>0.00026878033531829704</v>
      </c>
      <c r="F245" s="15"/>
      <c r="G245" s="9"/>
      <c r="H245" s="53"/>
      <c r="I245" s="51" t="s">
        <v>262</v>
      </c>
      <c r="J245" s="51" t="s">
        <v>127</v>
      </c>
    </row>
    <row r="246" spans="1:10" ht="12.75">
      <c r="A246" s="50" t="s">
        <v>3</v>
      </c>
      <c r="B246" s="50" t="s">
        <v>5</v>
      </c>
      <c r="C246" s="51" t="s">
        <v>0</v>
      </c>
      <c r="D246" s="52">
        <v>0.2662625312805173</v>
      </c>
      <c r="E246" s="52">
        <f t="shared" si="14"/>
        <v>0.0002600220032036302</v>
      </c>
      <c r="F246" s="15"/>
      <c r="G246" s="9"/>
      <c r="H246" s="53"/>
      <c r="I246" s="51" t="s">
        <v>262</v>
      </c>
      <c r="J246" s="51" t="s">
        <v>127</v>
      </c>
    </row>
    <row r="247" spans="1:10" ht="12.75">
      <c r="A247" s="50" t="s">
        <v>3</v>
      </c>
      <c r="B247" s="96" t="s">
        <v>6</v>
      </c>
      <c r="C247" s="51" t="s">
        <v>0</v>
      </c>
      <c r="D247" s="52">
        <v>154.94214469194398</v>
      </c>
      <c r="E247" s="52">
        <f t="shared" si="14"/>
        <v>0.15131068817572654</v>
      </c>
      <c r="F247" s="15">
        <f>E247</f>
        <v>0.15131068817572654</v>
      </c>
      <c r="G247" s="9"/>
      <c r="H247" s="53"/>
      <c r="I247" s="51" t="s">
        <v>262</v>
      </c>
      <c r="J247" s="51" t="s">
        <v>127</v>
      </c>
    </row>
    <row r="248" spans="1:10" ht="12.75">
      <c r="A248" s="50" t="s">
        <v>3</v>
      </c>
      <c r="B248" s="50" t="s">
        <v>7</v>
      </c>
      <c r="C248" s="51" t="s">
        <v>0</v>
      </c>
      <c r="D248" s="52">
        <v>8.889218568801875</v>
      </c>
      <c r="E248" s="52">
        <f t="shared" si="14"/>
        <v>0.00868087750859558</v>
      </c>
      <c r="F248" s="15"/>
      <c r="G248" s="9"/>
      <c r="H248" s="95"/>
      <c r="I248" s="51" t="s">
        <v>262</v>
      </c>
      <c r="J248" s="51" t="s">
        <v>127</v>
      </c>
    </row>
    <row r="249" spans="1:10" ht="13.5" thickBot="1">
      <c r="A249" s="58" t="s">
        <v>3</v>
      </c>
      <c r="B249" s="58" t="s">
        <v>273</v>
      </c>
      <c r="C249" s="59" t="s">
        <v>0</v>
      </c>
      <c r="D249" s="60">
        <v>0.568785727024078</v>
      </c>
      <c r="E249" s="60">
        <f t="shared" si="14"/>
        <v>0.0005554548115469512</v>
      </c>
      <c r="F249" s="18">
        <f>E249</f>
        <v>0.0005554548115469512</v>
      </c>
      <c r="G249" s="10"/>
      <c r="H249" s="61" t="s">
        <v>122</v>
      </c>
      <c r="I249" s="59" t="s">
        <v>262</v>
      </c>
      <c r="J249" s="59" t="s">
        <v>127</v>
      </c>
    </row>
    <row r="250" spans="1:8" ht="12.75">
      <c r="A250" s="62"/>
      <c r="B250" s="62"/>
      <c r="C250" s="5" t="s">
        <v>150</v>
      </c>
      <c r="D250" s="32">
        <f>SUM(D245:D249)</f>
        <v>164.9416425824164</v>
      </c>
      <c r="E250" s="32">
        <f t="shared" si="14"/>
        <v>0.161075822834391</v>
      </c>
      <c r="F250" s="19">
        <f>SUM(F245:F249)</f>
        <v>0.1518661429872735</v>
      </c>
      <c r="H250" s="63">
        <f>SUM(H245:H249)</f>
        <v>0</v>
      </c>
    </row>
    <row r="251" spans="1:5" ht="12.75">
      <c r="A251" s="62"/>
      <c r="B251" s="62"/>
      <c r="C251" s="5"/>
      <c r="D251" s="32"/>
      <c r="E251" s="32"/>
    </row>
    <row r="253" spans="1:77" s="37" customFormat="1" ht="12.75">
      <c r="A253" s="35"/>
      <c r="B253" s="35"/>
      <c r="C253" s="35" t="s">
        <v>79</v>
      </c>
      <c r="D253" s="36">
        <f>D250+D242</f>
        <v>2362.8220681548114</v>
      </c>
      <c r="E253" s="36">
        <f>E250+E242</f>
        <v>2.307443425932433</v>
      </c>
      <c r="F253" s="36">
        <f>F250+F242</f>
        <v>2.2977049437467936</v>
      </c>
      <c r="G253" s="36">
        <f>G250+G242</f>
        <v>0</v>
      </c>
      <c r="H253" s="36">
        <f>H250+H242</f>
        <v>0</v>
      </c>
      <c r="I253" s="35"/>
      <c r="J253" s="35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</row>
    <row r="254" spans="1:5" ht="12.75">
      <c r="A254" s="8"/>
      <c r="B254" s="8"/>
      <c r="C254" s="8"/>
      <c r="D254" s="30"/>
      <c r="E254" s="30"/>
    </row>
    <row r="255" spans="1:10" ht="12.75">
      <c r="A255" s="76" t="s">
        <v>8</v>
      </c>
      <c r="B255" s="96" t="s">
        <v>9</v>
      </c>
      <c r="C255" s="51" t="s">
        <v>0</v>
      </c>
      <c r="D255" s="52">
        <v>1911.5809110403047</v>
      </c>
      <c r="E255" s="52">
        <f>D255/1024</f>
        <v>1.8667782334377976</v>
      </c>
      <c r="F255" s="15"/>
      <c r="G255" s="9"/>
      <c r="H255" s="53"/>
      <c r="I255" s="2" t="s">
        <v>262</v>
      </c>
      <c r="J255" s="2" t="s">
        <v>179</v>
      </c>
    </row>
    <row r="256" spans="1:10" ht="12.75">
      <c r="A256" s="76" t="s">
        <v>8</v>
      </c>
      <c r="B256" s="96" t="s">
        <v>180</v>
      </c>
      <c r="C256" s="51" t="s">
        <v>0</v>
      </c>
      <c r="D256" s="52">
        <v>1400.0244562029839</v>
      </c>
      <c r="E256" s="52">
        <f>D256/1024</f>
        <v>1.3672113830107264</v>
      </c>
      <c r="F256" s="15"/>
      <c r="G256" s="9"/>
      <c r="H256" s="53"/>
      <c r="I256" s="2" t="s">
        <v>262</v>
      </c>
      <c r="J256" s="2" t="s">
        <v>179</v>
      </c>
    </row>
    <row r="257" spans="1:10" ht="13.5" thickBot="1">
      <c r="A257" s="77" t="s">
        <v>8</v>
      </c>
      <c r="B257" s="58" t="s">
        <v>181</v>
      </c>
      <c r="C257" s="59" t="s">
        <v>0</v>
      </c>
      <c r="D257" s="60">
        <v>0.7065626382827757</v>
      </c>
      <c r="E257" s="60">
        <f>D257/1024</f>
        <v>0.0006900025764480231</v>
      </c>
      <c r="F257" s="18"/>
      <c r="G257" s="10"/>
      <c r="H257" s="61"/>
      <c r="I257" s="6" t="s">
        <v>262</v>
      </c>
      <c r="J257" s="6" t="s">
        <v>179</v>
      </c>
    </row>
    <row r="258" spans="1:10" ht="12.75">
      <c r="A258" s="4"/>
      <c r="B258" s="4"/>
      <c r="C258" s="5" t="s">
        <v>150</v>
      </c>
      <c r="D258" s="32">
        <f>SUM(D255:D257)</f>
        <v>3312.3119298815714</v>
      </c>
      <c r="E258" s="32">
        <f>D258/1024</f>
        <v>3.234679619024972</v>
      </c>
      <c r="F258" s="28"/>
      <c r="G258" s="29"/>
      <c r="H258" s="63">
        <f>SUM(H255:H257)</f>
        <v>0</v>
      </c>
      <c r="I258" s="5"/>
      <c r="J258" s="5"/>
    </row>
    <row r="260" spans="1:77" s="37" customFormat="1" ht="12.75">
      <c r="A260" s="35"/>
      <c r="B260" s="35"/>
      <c r="C260" s="35" t="s">
        <v>80</v>
      </c>
      <c r="D260" s="36">
        <f>D258</f>
        <v>3312.3119298815714</v>
      </c>
      <c r="E260" s="36">
        <f>E258</f>
        <v>3.234679619024972</v>
      </c>
      <c r="F260" s="36">
        <f>F258</f>
        <v>0</v>
      </c>
      <c r="G260" s="36">
        <f>G258</f>
        <v>0</v>
      </c>
      <c r="H260" s="36">
        <f>H258</f>
        <v>0</v>
      </c>
      <c r="I260" s="35"/>
      <c r="J260" s="35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</row>
    <row r="262" spans="1:10" ht="12.75">
      <c r="A262" s="50" t="s">
        <v>182</v>
      </c>
      <c r="B262" s="50" t="s">
        <v>183</v>
      </c>
      <c r="C262" s="51" t="s">
        <v>184</v>
      </c>
      <c r="D262" s="52">
        <f>(286*0.012)/30</f>
        <v>0.1144</v>
      </c>
      <c r="E262" s="52">
        <f>D262/1024</f>
        <v>0.00011171875</v>
      </c>
      <c r="F262" s="15"/>
      <c r="G262" s="9"/>
      <c r="H262" s="53"/>
      <c r="I262" s="2" t="s">
        <v>262</v>
      </c>
      <c r="J262" s="2" t="s">
        <v>185</v>
      </c>
    </row>
    <row r="263" spans="1:10" ht="12.75">
      <c r="A263" s="50" t="s">
        <v>182</v>
      </c>
      <c r="B263" s="50" t="s">
        <v>186</v>
      </c>
      <c r="C263" s="51" t="s">
        <v>184</v>
      </c>
      <c r="D263" s="52">
        <f>(286*0.012)/30</f>
        <v>0.1144</v>
      </c>
      <c r="E263" s="52">
        <f>D263/1024</f>
        <v>0.00011171875</v>
      </c>
      <c r="F263" s="15"/>
      <c r="G263" s="9"/>
      <c r="H263" s="53"/>
      <c r="I263" s="2" t="s">
        <v>262</v>
      </c>
      <c r="J263" s="2" t="s">
        <v>185</v>
      </c>
    </row>
    <row r="264" spans="1:10" ht="12.75">
      <c r="A264" s="50" t="s">
        <v>182</v>
      </c>
      <c r="B264" s="50" t="s">
        <v>187</v>
      </c>
      <c r="C264" s="51" t="s">
        <v>184</v>
      </c>
      <c r="D264" s="52">
        <f>(286*2)/30</f>
        <v>19.066666666666666</v>
      </c>
      <c r="E264" s="52">
        <f>D264/1024</f>
        <v>0.018619791666666666</v>
      </c>
      <c r="F264" s="15">
        <f>E264</f>
        <v>0.018619791666666666</v>
      </c>
      <c r="G264" s="9"/>
      <c r="H264" s="53"/>
      <c r="I264" s="2" t="s">
        <v>262</v>
      </c>
      <c r="J264" s="2" t="s">
        <v>185</v>
      </c>
    </row>
    <row r="265" spans="1:10" ht="13.5" thickBot="1">
      <c r="A265" s="58" t="s">
        <v>182</v>
      </c>
      <c r="B265" s="58" t="s">
        <v>273</v>
      </c>
      <c r="C265" s="59" t="s">
        <v>184</v>
      </c>
      <c r="D265" s="60">
        <f>(286*0.026)/30</f>
        <v>0.24786666666666665</v>
      </c>
      <c r="E265" s="60">
        <f>D265/1024</f>
        <v>0.00024205729166666665</v>
      </c>
      <c r="F265" s="18">
        <f>E265</f>
        <v>0.00024205729166666665</v>
      </c>
      <c r="G265" s="10"/>
      <c r="H265" s="61" t="s">
        <v>122</v>
      </c>
      <c r="I265" s="6" t="s">
        <v>262</v>
      </c>
      <c r="J265" s="6" t="s">
        <v>185</v>
      </c>
    </row>
    <row r="266" spans="1:10" ht="12.75">
      <c r="A266" s="4"/>
      <c r="B266" s="4"/>
      <c r="C266" s="5" t="s">
        <v>150</v>
      </c>
      <c r="D266" s="32">
        <f>SUM(D262:D265)</f>
        <v>19.543333333333333</v>
      </c>
      <c r="E266" s="32">
        <f>SUM(E262:E265)</f>
        <v>0.019085286458333333</v>
      </c>
      <c r="F266" s="28">
        <f>SUM(F262:F265)</f>
        <v>0.018861848958333333</v>
      </c>
      <c r="G266" s="29"/>
      <c r="H266" s="63">
        <f>SUM(H262:H265)</f>
        <v>0</v>
      </c>
      <c r="I266" s="5"/>
      <c r="J266" s="5"/>
    </row>
    <row r="268" spans="1:77" s="37" customFormat="1" ht="12.75">
      <c r="A268" s="35"/>
      <c r="B268" s="35"/>
      <c r="C268" s="35" t="s">
        <v>81</v>
      </c>
      <c r="D268" s="36">
        <f>D266</f>
        <v>19.543333333333333</v>
      </c>
      <c r="E268" s="36">
        <f>E266</f>
        <v>0.019085286458333333</v>
      </c>
      <c r="F268" s="36">
        <f>F266</f>
        <v>0.018861848958333333</v>
      </c>
      <c r="G268" s="36">
        <f>G266</f>
        <v>0</v>
      </c>
      <c r="H268" s="36">
        <f>H266</f>
        <v>0</v>
      </c>
      <c r="I268" s="35"/>
      <c r="J268" s="35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</row>
    <row r="270" spans="1:10" ht="12.75">
      <c r="A270" s="50" t="s">
        <v>66</v>
      </c>
      <c r="B270" s="50" t="s">
        <v>67</v>
      </c>
      <c r="C270" s="51" t="s">
        <v>0</v>
      </c>
      <c r="D270" s="52">
        <f>3.15/16</f>
        <v>0.196875</v>
      </c>
      <c r="E270" s="52">
        <f>D270/1024</f>
        <v>0.0001922607421875</v>
      </c>
      <c r="F270" s="15"/>
      <c r="G270" s="9"/>
      <c r="H270" s="53"/>
      <c r="I270" s="51" t="s">
        <v>262</v>
      </c>
      <c r="J270" s="51" t="s">
        <v>68</v>
      </c>
    </row>
    <row r="271" spans="1:10" ht="12.75">
      <c r="A271" s="50" t="s">
        <v>66</v>
      </c>
      <c r="B271" s="50" t="s">
        <v>69</v>
      </c>
      <c r="C271" s="51" t="s">
        <v>0</v>
      </c>
      <c r="D271" s="52">
        <f>3.02/16</f>
        <v>0.18875</v>
      </c>
      <c r="E271" s="52">
        <f>D271/1024</f>
        <v>0.000184326171875</v>
      </c>
      <c r="F271" s="15"/>
      <c r="G271" s="9"/>
      <c r="H271" s="53"/>
      <c r="I271" s="51" t="s">
        <v>262</v>
      </c>
      <c r="J271" s="51" t="s">
        <v>68</v>
      </c>
    </row>
    <row r="272" spans="1:10" ht="12.75">
      <c r="A272" s="50" t="s">
        <v>66</v>
      </c>
      <c r="B272" s="96" t="s">
        <v>70</v>
      </c>
      <c r="C272" s="51" t="s">
        <v>0</v>
      </c>
      <c r="D272" s="52">
        <f>568.7/16</f>
        <v>35.54375</v>
      </c>
      <c r="E272" s="52">
        <f>D272/1024</f>
        <v>0.034710693359375</v>
      </c>
      <c r="F272" s="15">
        <f>E272</f>
        <v>0.034710693359375</v>
      </c>
      <c r="G272" s="9"/>
      <c r="H272" s="53"/>
      <c r="I272" s="51" t="s">
        <v>262</v>
      </c>
      <c r="J272" s="51" t="s">
        <v>68</v>
      </c>
    </row>
    <row r="273" spans="1:10" ht="13.5" thickBot="1">
      <c r="A273" s="58" t="s">
        <v>66</v>
      </c>
      <c r="B273" s="58" t="s">
        <v>273</v>
      </c>
      <c r="C273" s="59" t="s">
        <v>0</v>
      </c>
      <c r="D273" s="60">
        <f>6.17/16</f>
        <v>0.385625</v>
      </c>
      <c r="E273" s="60">
        <f>D273/1024</f>
        <v>0.0003765869140625</v>
      </c>
      <c r="F273" s="18">
        <f>E273</f>
        <v>0.0003765869140625</v>
      </c>
      <c r="G273" s="10"/>
      <c r="H273" s="61" t="s">
        <v>122</v>
      </c>
      <c r="I273" s="59" t="s">
        <v>262</v>
      </c>
      <c r="J273" s="59" t="s">
        <v>68</v>
      </c>
    </row>
    <row r="274" spans="1:8" ht="12.75">
      <c r="A274" s="62"/>
      <c r="B274" s="62"/>
      <c r="C274" s="5" t="s">
        <v>150</v>
      </c>
      <c r="D274" s="32">
        <f>SUM(D270:D273)</f>
        <v>36.315</v>
      </c>
      <c r="E274" s="32">
        <f>D274/1024</f>
        <v>0.0354638671875</v>
      </c>
      <c r="F274" s="19">
        <f>SUM(F270:F273)</f>
        <v>0.0350872802734375</v>
      </c>
      <c r="H274" s="63">
        <f>SUM(H270:H273)</f>
        <v>0</v>
      </c>
    </row>
    <row r="276" spans="1:77" s="37" customFormat="1" ht="12.75">
      <c r="A276" s="35"/>
      <c r="B276" s="35"/>
      <c r="C276" s="35" t="s">
        <v>82</v>
      </c>
      <c r="D276" s="36">
        <f>D274</f>
        <v>36.315</v>
      </c>
      <c r="E276" s="36">
        <f>E274</f>
        <v>0.0354638671875</v>
      </c>
      <c r="F276" s="36">
        <f>F274</f>
        <v>0.0350872802734375</v>
      </c>
      <c r="G276" s="36">
        <f>G274</f>
        <v>0</v>
      </c>
      <c r="H276" s="36">
        <f>H274</f>
        <v>0</v>
      </c>
      <c r="I276" s="35"/>
      <c r="J276" s="35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</row>
    <row r="278" spans="1:10" ht="12.75">
      <c r="A278" s="50" t="s">
        <v>71</v>
      </c>
      <c r="B278" s="50" t="s">
        <v>94</v>
      </c>
      <c r="C278" s="51" t="s">
        <v>184</v>
      </c>
      <c r="D278" s="52">
        <f>3.15/30</f>
        <v>0.105</v>
      </c>
      <c r="E278" s="52">
        <f>D278/1024</f>
        <v>0.0001025390625</v>
      </c>
      <c r="F278" s="15"/>
      <c r="G278" s="9"/>
      <c r="H278" s="53"/>
      <c r="I278" s="51" t="s">
        <v>262</v>
      </c>
      <c r="J278" s="51" t="s">
        <v>95</v>
      </c>
    </row>
    <row r="279" spans="1:10" ht="12.75">
      <c r="A279" s="50" t="s">
        <v>71</v>
      </c>
      <c r="B279" s="50" t="s">
        <v>96</v>
      </c>
      <c r="C279" s="51" t="s">
        <v>184</v>
      </c>
      <c r="D279" s="52">
        <f>3.02/30</f>
        <v>0.10066666666666667</v>
      </c>
      <c r="E279" s="52">
        <f>D279/1024</f>
        <v>9.830729166666667E-05</v>
      </c>
      <c r="F279" s="15"/>
      <c r="G279" s="9"/>
      <c r="H279" s="53"/>
      <c r="I279" s="51" t="s">
        <v>262</v>
      </c>
      <c r="J279" s="51" t="s">
        <v>95</v>
      </c>
    </row>
    <row r="280" spans="1:10" ht="12.75">
      <c r="A280" s="50" t="s">
        <v>71</v>
      </c>
      <c r="B280" s="96" t="s">
        <v>97</v>
      </c>
      <c r="C280" s="51" t="s">
        <v>184</v>
      </c>
      <c r="D280" s="52">
        <f>568.75/30</f>
        <v>18.958333333333332</v>
      </c>
      <c r="E280" s="52">
        <f>D280/1024</f>
        <v>0.018513997395833332</v>
      </c>
      <c r="F280" s="15">
        <f>E280</f>
        <v>0.018513997395833332</v>
      </c>
      <c r="G280" s="9"/>
      <c r="H280" s="53"/>
      <c r="I280" s="51" t="s">
        <v>262</v>
      </c>
      <c r="J280" s="51" t="s">
        <v>95</v>
      </c>
    </row>
    <row r="281" spans="1:10" ht="13.5" thickBot="1">
      <c r="A281" s="58" t="s">
        <v>71</v>
      </c>
      <c r="B281" s="58" t="s">
        <v>273</v>
      </c>
      <c r="C281" s="59" t="s">
        <v>184</v>
      </c>
      <c r="D281" s="60">
        <f>6.17/30</f>
        <v>0.20566666666666666</v>
      </c>
      <c r="E281" s="60">
        <f>D281/1024</f>
        <v>0.00020084635416666666</v>
      </c>
      <c r="F281" s="18">
        <f>E281</f>
        <v>0.00020084635416666666</v>
      </c>
      <c r="G281" s="10"/>
      <c r="H281" s="61" t="s">
        <v>122</v>
      </c>
      <c r="I281" s="59" t="s">
        <v>262</v>
      </c>
      <c r="J281" s="59" t="s">
        <v>95</v>
      </c>
    </row>
    <row r="282" spans="1:8" ht="12.75">
      <c r="A282" s="62"/>
      <c r="B282" s="62"/>
      <c r="C282" s="5" t="s">
        <v>150</v>
      </c>
      <c r="D282" s="32">
        <f>SUM(D278:D281)</f>
        <v>19.369666666666664</v>
      </c>
      <c r="E282" s="32">
        <f>D282/1024</f>
        <v>0.018915690104166664</v>
      </c>
      <c r="F282" s="19">
        <f>SUM(F278:F281)</f>
        <v>0.018714843749999998</v>
      </c>
      <c r="H282" s="63">
        <f>SUM(H278:H281)</f>
        <v>0</v>
      </c>
    </row>
    <row r="284" spans="1:77" s="37" customFormat="1" ht="12.75">
      <c r="A284" s="35"/>
      <c r="B284" s="35"/>
      <c r="C284" s="35" t="s">
        <v>83</v>
      </c>
      <c r="D284" s="36">
        <f>D282</f>
        <v>19.369666666666664</v>
      </c>
      <c r="E284" s="36">
        <f>E282</f>
        <v>0.018915690104166664</v>
      </c>
      <c r="F284" s="36">
        <f>F282</f>
        <v>0.018714843749999998</v>
      </c>
      <c r="G284" s="36">
        <f>G282</f>
        <v>0</v>
      </c>
      <c r="H284" s="36">
        <f>H282</f>
        <v>0</v>
      </c>
      <c r="I284" s="35"/>
      <c r="J284" s="35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</row>
    <row r="286" spans="1:10" ht="13.5" thickBot="1">
      <c r="A286" s="7" t="s">
        <v>98</v>
      </c>
      <c r="B286" s="7" t="s">
        <v>99</v>
      </c>
      <c r="C286" s="6" t="s">
        <v>184</v>
      </c>
      <c r="D286" s="27">
        <v>0.05</v>
      </c>
      <c r="E286" s="27">
        <f>D286/1024</f>
        <v>4.8828125E-05</v>
      </c>
      <c r="F286" s="31"/>
      <c r="G286" s="10">
        <f>E286</f>
        <v>4.8828125E-05</v>
      </c>
      <c r="H286" s="61"/>
      <c r="I286" s="6" t="s">
        <v>262</v>
      </c>
      <c r="J286" s="6" t="s">
        <v>308</v>
      </c>
    </row>
    <row r="287" spans="1:10" ht="12.75">
      <c r="A287" s="5"/>
      <c r="B287" s="5"/>
      <c r="C287" s="5" t="s">
        <v>150</v>
      </c>
      <c r="D287" s="32">
        <v>0.05</v>
      </c>
      <c r="E287" s="32">
        <f>SUM(E286)</f>
        <v>4.8828125E-05</v>
      </c>
      <c r="F287" s="28"/>
      <c r="G287" s="29">
        <f>SUM(G286)</f>
        <v>4.8828125E-05</v>
      </c>
      <c r="H287" s="63">
        <f>SUM(H286)</f>
        <v>0</v>
      </c>
      <c r="I287" s="5"/>
      <c r="J287" s="5"/>
    </row>
    <row r="289" spans="1:77" s="37" customFormat="1" ht="12.75">
      <c r="A289" s="35"/>
      <c r="B289" s="35"/>
      <c r="C289" s="35" t="s">
        <v>84</v>
      </c>
      <c r="D289" s="36">
        <f>D287</f>
        <v>0.05</v>
      </c>
      <c r="E289" s="36">
        <f>E287</f>
        <v>4.8828125E-05</v>
      </c>
      <c r="F289" s="36">
        <f>F287</f>
        <v>0</v>
      </c>
      <c r="G289" s="36">
        <f>G287</f>
        <v>4.8828125E-05</v>
      </c>
      <c r="H289" s="36">
        <f>H287</f>
        <v>0</v>
      </c>
      <c r="I289" s="35"/>
      <c r="J289" s="35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</row>
    <row r="291" spans="1:10" ht="12.75">
      <c r="A291" s="50" t="s">
        <v>240</v>
      </c>
      <c r="B291" s="96" t="s">
        <v>241</v>
      </c>
      <c r="C291" s="51" t="s">
        <v>303</v>
      </c>
      <c r="D291" s="52">
        <v>47.411262810230255</v>
      </c>
      <c r="E291" s="52">
        <f>D291/1024</f>
        <v>0.046300061338115484</v>
      </c>
      <c r="F291" s="15">
        <f>E291</f>
        <v>0.046300061338115484</v>
      </c>
      <c r="G291" s="9"/>
      <c r="H291" s="53"/>
      <c r="I291" s="2" t="s">
        <v>262</v>
      </c>
      <c r="J291" s="2" t="s">
        <v>102</v>
      </c>
    </row>
    <row r="292" spans="1:10" ht="12.75">
      <c r="A292" s="50" t="s">
        <v>240</v>
      </c>
      <c r="B292" s="50" t="s">
        <v>242</v>
      </c>
      <c r="C292" s="51" t="s">
        <v>303</v>
      </c>
      <c r="D292" s="52">
        <v>3.5089505910873413</v>
      </c>
      <c r="E292" s="52">
        <f>D292/1024</f>
        <v>0.0034267095616087317</v>
      </c>
      <c r="F292" s="15"/>
      <c r="G292" s="9"/>
      <c r="H292" s="53"/>
      <c r="I292" s="2" t="s">
        <v>262</v>
      </c>
      <c r="J292" s="2" t="s">
        <v>102</v>
      </c>
    </row>
    <row r="293" spans="1:10" ht="12.75">
      <c r="A293" s="50" t="s">
        <v>240</v>
      </c>
      <c r="B293" s="50" t="s">
        <v>243</v>
      </c>
      <c r="C293" s="51" t="s">
        <v>303</v>
      </c>
      <c r="D293" s="52">
        <v>3.5971885323524475</v>
      </c>
      <c r="E293" s="52">
        <f>D293/1024</f>
        <v>0.003512879426125437</v>
      </c>
      <c r="F293" s="15"/>
      <c r="G293" s="9"/>
      <c r="H293" s="53"/>
      <c r="I293" s="2" t="s">
        <v>262</v>
      </c>
      <c r="J293" s="2" t="s">
        <v>102</v>
      </c>
    </row>
    <row r="294" spans="1:10" ht="13.5" thickBot="1">
      <c r="A294" s="58" t="s">
        <v>240</v>
      </c>
      <c r="B294" s="58" t="s">
        <v>273</v>
      </c>
      <c r="C294" s="59" t="s">
        <v>303</v>
      </c>
      <c r="D294" s="60">
        <v>7.107650697231293</v>
      </c>
      <c r="E294" s="60">
        <f>D294/1024</f>
        <v>0.006941065134014934</v>
      </c>
      <c r="F294" s="18">
        <f>E294</f>
        <v>0.006941065134014934</v>
      </c>
      <c r="G294" s="10"/>
      <c r="H294" s="61" t="s">
        <v>122</v>
      </c>
      <c r="I294" s="6" t="s">
        <v>262</v>
      </c>
      <c r="J294" s="6" t="s">
        <v>102</v>
      </c>
    </row>
    <row r="295" spans="1:8" ht="12.75">
      <c r="A295" s="62"/>
      <c r="B295" s="62"/>
      <c r="C295" s="65" t="s">
        <v>267</v>
      </c>
      <c r="D295" s="66">
        <f>SUM(D291:D294)</f>
        <v>61.62505263090134</v>
      </c>
      <c r="E295" s="32">
        <f>D295/1024</f>
        <v>0.06018071545986459</v>
      </c>
      <c r="F295" s="19">
        <f>SUM(F291)</f>
        <v>0.046300061338115484</v>
      </c>
      <c r="H295" s="63">
        <f>SUM(H291:H294)</f>
        <v>0</v>
      </c>
    </row>
    <row r="296" spans="1:5" ht="12.75">
      <c r="A296" s="62"/>
      <c r="B296" s="62"/>
      <c r="C296" s="65"/>
      <c r="D296" s="66"/>
      <c r="E296" s="66"/>
    </row>
    <row r="298" spans="1:10" ht="12.75">
      <c r="A298" s="1" t="s">
        <v>100</v>
      </c>
      <c r="B298" s="1" t="s">
        <v>101</v>
      </c>
      <c r="C298" s="2" t="s">
        <v>303</v>
      </c>
      <c r="D298" s="26">
        <v>8.839248657226562</v>
      </c>
      <c r="E298" s="26">
        <f>D298/1024</f>
        <v>0.008632078766822815</v>
      </c>
      <c r="F298" s="15"/>
      <c r="G298" s="9"/>
      <c r="H298" s="53"/>
      <c r="I298" s="2" t="s">
        <v>262</v>
      </c>
      <c r="J298" s="2" t="s">
        <v>102</v>
      </c>
    </row>
    <row r="299" spans="1:10" ht="12.75">
      <c r="A299" s="1" t="s">
        <v>100</v>
      </c>
      <c r="B299" s="1" t="s">
        <v>103</v>
      </c>
      <c r="C299" s="2" t="s">
        <v>303</v>
      </c>
      <c r="D299" s="26">
        <v>123.68719654083252</v>
      </c>
      <c r="E299" s="26">
        <f>D299/1024</f>
        <v>0.12078827787190675</v>
      </c>
      <c r="F299" s="15"/>
      <c r="G299" s="9"/>
      <c r="H299" s="53"/>
      <c r="I299" s="2" t="s">
        <v>262</v>
      </c>
      <c r="J299" s="2" t="s">
        <v>102</v>
      </c>
    </row>
    <row r="300" spans="1:10" ht="12.75">
      <c r="A300" s="1" t="s">
        <v>100</v>
      </c>
      <c r="B300" s="1" t="s">
        <v>104</v>
      </c>
      <c r="C300" s="2" t="s">
        <v>303</v>
      </c>
      <c r="D300" s="26">
        <v>939.4408433914184</v>
      </c>
      <c r="E300" s="26">
        <f>D300/1024</f>
        <v>0.917422698624432</v>
      </c>
      <c r="F300" s="15">
        <f>E300</f>
        <v>0.917422698624432</v>
      </c>
      <c r="G300" s="9"/>
      <c r="H300" s="53"/>
      <c r="I300" s="2" t="s">
        <v>262</v>
      </c>
      <c r="J300" s="2" t="s">
        <v>102</v>
      </c>
    </row>
    <row r="301" spans="1:10" ht="13.5" thickBot="1">
      <c r="A301" s="7" t="s">
        <v>100</v>
      </c>
      <c r="B301" s="7" t="s">
        <v>273</v>
      </c>
      <c r="C301" s="6" t="s">
        <v>303</v>
      </c>
      <c r="D301" s="27">
        <v>8.84073543548584</v>
      </c>
      <c r="E301" s="27">
        <f>D301/1024</f>
        <v>0.00863353069871664</v>
      </c>
      <c r="F301" s="18">
        <f>E301</f>
        <v>0.00863353069871664</v>
      </c>
      <c r="G301" s="10"/>
      <c r="H301" s="61" t="s">
        <v>122</v>
      </c>
      <c r="I301" s="6" t="s">
        <v>262</v>
      </c>
      <c r="J301" s="6" t="s">
        <v>102</v>
      </c>
    </row>
    <row r="302" spans="1:10" ht="12.75">
      <c r="A302" s="4"/>
      <c r="B302" s="4"/>
      <c r="C302" s="5" t="s">
        <v>150</v>
      </c>
      <c r="D302" s="32">
        <f>SUM(D298:D301)</f>
        <v>1080.8080240249633</v>
      </c>
      <c r="E302" s="32">
        <f>SUM(E298:E301)</f>
        <v>1.0554765859618782</v>
      </c>
      <c r="F302" s="28">
        <f>SUM(F298:F301)</f>
        <v>0.9260562293231487</v>
      </c>
      <c r="H302" s="63">
        <f>SUM(H298:H301)</f>
        <v>0</v>
      </c>
      <c r="I302" s="5"/>
      <c r="J302" s="5"/>
    </row>
    <row r="304" spans="1:77" s="37" customFormat="1" ht="12.75">
      <c r="A304" s="35"/>
      <c r="B304" s="35"/>
      <c r="C304" s="35" t="s">
        <v>85</v>
      </c>
      <c r="D304" s="36">
        <f>D302+D295</f>
        <v>1142.4330766558646</v>
      </c>
      <c r="E304" s="36">
        <f>E302+E295</f>
        <v>1.1156573014217428</v>
      </c>
      <c r="F304" s="36">
        <f>F302+F295</f>
        <v>0.9723562906612642</v>
      </c>
      <c r="G304" s="36">
        <f>G302+G295</f>
        <v>0</v>
      </c>
      <c r="H304" s="36">
        <f>H302+H295</f>
        <v>0</v>
      </c>
      <c r="I304" s="35"/>
      <c r="J304" s="35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</row>
    <row r="306" spans="1:88" s="79" customFormat="1" ht="13.5" thickBot="1">
      <c r="A306" s="58" t="s">
        <v>105</v>
      </c>
      <c r="B306" s="97" t="s">
        <v>106</v>
      </c>
      <c r="C306" s="59" t="s">
        <v>303</v>
      </c>
      <c r="D306" s="60">
        <f>(286*41)/365</f>
        <v>32.12602739726027</v>
      </c>
      <c r="E306" s="78">
        <f>D306/1024</f>
        <v>0.031373073630136986</v>
      </c>
      <c r="F306" s="18"/>
      <c r="G306" s="10"/>
      <c r="H306" s="61" t="s">
        <v>122</v>
      </c>
      <c r="I306" s="59" t="s">
        <v>262</v>
      </c>
      <c r="J306" s="59" t="s">
        <v>107</v>
      </c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 s="40"/>
      <c r="CA306" s="40"/>
      <c r="CB306" s="40"/>
      <c r="CC306" s="40"/>
      <c r="CD306" s="40"/>
      <c r="CE306" s="40"/>
      <c r="CF306" s="40"/>
      <c r="CG306" s="40"/>
      <c r="CH306" s="40"/>
      <c r="CI306" s="40"/>
      <c r="CJ306" s="40"/>
    </row>
    <row r="307" spans="1:6" ht="12.75">
      <c r="A307" s="62"/>
      <c r="B307" s="62"/>
      <c r="C307" s="80" t="s">
        <v>150</v>
      </c>
      <c r="D307" s="88">
        <f>D306</f>
        <v>32.12602739726027</v>
      </c>
      <c r="E307" s="88">
        <f>D307/1024</f>
        <v>0.031373073630136986</v>
      </c>
      <c r="F307" s="33"/>
    </row>
    <row r="310" spans="1:88" s="81" customFormat="1" ht="12.75">
      <c r="A310" s="50" t="s">
        <v>108</v>
      </c>
      <c r="B310" s="96" t="s">
        <v>109</v>
      </c>
      <c r="C310" s="51" t="s">
        <v>126</v>
      </c>
      <c r="D310" s="52">
        <v>45.782865703105614</v>
      </c>
      <c r="E310" s="52">
        <f aca="true" t="shared" si="15" ref="E310:E315">D310/1024</f>
        <v>0.044709829788189076</v>
      </c>
      <c r="F310" s="15">
        <f>E310</f>
        <v>0.044709829788189076</v>
      </c>
      <c r="G310" s="9"/>
      <c r="H310" s="53"/>
      <c r="I310" s="51" t="s">
        <v>262</v>
      </c>
      <c r="J310" s="51" t="s">
        <v>110</v>
      </c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 s="40"/>
      <c r="CA310" s="40"/>
      <c r="CB310" s="40"/>
      <c r="CC310" s="40"/>
      <c r="CD310" s="40"/>
      <c r="CE310" s="40"/>
      <c r="CF310" s="40"/>
      <c r="CG310" s="40"/>
      <c r="CH310" s="40"/>
      <c r="CI310" s="40"/>
      <c r="CJ310" s="40"/>
    </row>
    <row r="311" spans="1:88" s="81" customFormat="1" ht="12.75">
      <c r="A311" s="50" t="s">
        <v>108</v>
      </c>
      <c r="B311" s="96" t="s">
        <v>111</v>
      </c>
      <c r="C311" s="51" t="s">
        <v>126</v>
      </c>
      <c r="D311" s="52">
        <v>4.435256302356715</v>
      </c>
      <c r="E311" s="52">
        <f t="shared" si="15"/>
        <v>0.004331304982770229</v>
      </c>
      <c r="F311" s="15"/>
      <c r="G311" s="9"/>
      <c r="H311" s="53"/>
      <c r="I311" s="51" t="s">
        <v>262</v>
      </c>
      <c r="J311" s="51" t="s">
        <v>110</v>
      </c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 s="40"/>
      <c r="CA311" s="40"/>
      <c r="CB311" s="40"/>
      <c r="CC311" s="40"/>
      <c r="CD311" s="40"/>
      <c r="CE311" s="40"/>
      <c r="CF311" s="40"/>
      <c r="CG311" s="40"/>
      <c r="CH311" s="40"/>
      <c r="CI311" s="40"/>
      <c r="CJ311" s="40"/>
    </row>
    <row r="312" spans="1:88" s="81" customFormat="1" ht="12.75">
      <c r="A312" s="50" t="s">
        <v>108</v>
      </c>
      <c r="B312" s="82" t="s">
        <v>273</v>
      </c>
      <c r="C312" s="51" t="s">
        <v>126</v>
      </c>
      <c r="D312" s="52">
        <v>1.3682668209075914</v>
      </c>
      <c r="E312" s="83">
        <f t="shared" si="15"/>
        <v>0.0013361980672925698</v>
      </c>
      <c r="F312" s="15">
        <f>E312</f>
        <v>0.0013361980672925698</v>
      </c>
      <c r="G312" s="9"/>
      <c r="H312" s="53" t="s">
        <v>122</v>
      </c>
      <c r="I312" s="51" t="s">
        <v>262</v>
      </c>
      <c r="J312" s="51" t="s">
        <v>110</v>
      </c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 s="40"/>
      <c r="CA312" s="40"/>
      <c r="CB312" s="40"/>
      <c r="CC312" s="40"/>
      <c r="CD312" s="40"/>
      <c r="CE312" s="40"/>
      <c r="CF312" s="40"/>
      <c r="CG312" s="40"/>
      <c r="CH312" s="40"/>
      <c r="CI312" s="40"/>
      <c r="CJ312" s="40"/>
    </row>
    <row r="313" spans="1:88" s="81" customFormat="1" ht="12.75">
      <c r="A313" s="50" t="s">
        <v>108</v>
      </c>
      <c r="B313" s="82" t="s">
        <v>305</v>
      </c>
      <c r="C313" s="51" t="s">
        <v>126</v>
      </c>
      <c r="D313" s="52">
        <v>0.6763532757759071</v>
      </c>
      <c r="E313" s="83">
        <f t="shared" si="15"/>
        <v>0.0006605012458749093</v>
      </c>
      <c r="F313" s="15"/>
      <c r="G313" s="9"/>
      <c r="H313" s="53"/>
      <c r="I313" s="51" t="s">
        <v>262</v>
      </c>
      <c r="J313" s="51" t="s">
        <v>110</v>
      </c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 s="40"/>
      <c r="CA313" s="40"/>
      <c r="CB313" s="40"/>
      <c r="CC313" s="40"/>
      <c r="CD313" s="40"/>
      <c r="CE313" s="40"/>
      <c r="CF313" s="40"/>
      <c r="CG313" s="40"/>
      <c r="CH313" s="40"/>
      <c r="CI313" s="40"/>
      <c r="CJ313" s="40"/>
    </row>
    <row r="314" spans="1:88" s="79" customFormat="1" ht="13.5" thickBot="1">
      <c r="A314" s="58" t="s">
        <v>108</v>
      </c>
      <c r="B314" s="84" t="s">
        <v>306</v>
      </c>
      <c r="C314" s="59" t="s">
        <v>126</v>
      </c>
      <c r="D314" s="89">
        <v>0.6373292803764318</v>
      </c>
      <c r="E314" s="85">
        <f t="shared" si="15"/>
        <v>0.0006223918753676092</v>
      </c>
      <c r="F314" s="18"/>
      <c r="G314" s="10"/>
      <c r="H314" s="61"/>
      <c r="I314" s="59" t="s">
        <v>262</v>
      </c>
      <c r="J314" s="59" t="s">
        <v>110</v>
      </c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 s="40"/>
      <c r="CA314" s="40"/>
      <c r="CB314" s="40"/>
      <c r="CC314" s="40"/>
      <c r="CD314" s="40"/>
      <c r="CE314" s="40"/>
      <c r="CF314" s="40"/>
      <c r="CG314" s="40"/>
      <c r="CH314" s="40"/>
      <c r="CI314" s="40"/>
      <c r="CJ314" s="40"/>
    </row>
    <row r="315" spans="1:8" ht="12.75">
      <c r="A315" s="62"/>
      <c r="B315" s="62"/>
      <c r="C315" s="5" t="s">
        <v>209</v>
      </c>
      <c r="D315" s="32">
        <f>SUM(D310:D314)</f>
        <v>52.90007138252226</v>
      </c>
      <c r="E315" s="32">
        <f t="shared" si="15"/>
        <v>0.0516602259594944</v>
      </c>
      <c r="F315" s="28">
        <f>SUM(F310:F314)</f>
        <v>0.04604602785548165</v>
      </c>
      <c r="H315" s="63">
        <f>SUM(H310:H314)</f>
        <v>0</v>
      </c>
    </row>
    <row r="317" spans="1:88" s="51" customFormat="1" ht="12.75">
      <c r="A317" s="50" t="s">
        <v>112</v>
      </c>
      <c r="B317" s="96" t="s">
        <v>113</v>
      </c>
      <c r="C317" s="51" t="s">
        <v>114</v>
      </c>
      <c r="D317" s="52">
        <f>(286*4.2)/365</f>
        <v>3.2909589041095892</v>
      </c>
      <c r="E317" s="52">
        <f>D317/1024</f>
        <v>0.0032138270547945207</v>
      </c>
      <c r="F317" s="15">
        <f>E317</f>
        <v>0.0032138270547945207</v>
      </c>
      <c r="G317" s="9"/>
      <c r="H317" s="53"/>
      <c r="I317" s="51" t="s">
        <v>262</v>
      </c>
      <c r="J317" s="51" t="s">
        <v>116</v>
      </c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 s="40"/>
      <c r="CA317" s="40"/>
      <c r="CB317" s="40"/>
      <c r="CC317" s="40"/>
      <c r="CD317" s="40"/>
      <c r="CE317" s="40"/>
      <c r="CF317" s="40"/>
      <c r="CG317" s="40"/>
      <c r="CH317" s="40"/>
      <c r="CI317" s="40"/>
      <c r="CJ317" s="40"/>
    </row>
    <row r="318" spans="1:88" s="51" customFormat="1" ht="12.75">
      <c r="A318" s="50" t="s">
        <v>112</v>
      </c>
      <c r="B318" s="96" t="s">
        <v>115</v>
      </c>
      <c r="C318" s="51" t="s">
        <v>114</v>
      </c>
      <c r="D318" s="52">
        <f>(286*0.23)/365</f>
        <v>0.1802191780821918</v>
      </c>
      <c r="E318" s="52">
        <f>D318/1024</f>
        <v>0.00017599529109589042</v>
      </c>
      <c r="F318" s="15"/>
      <c r="G318" s="9"/>
      <c r="H318" s="53" t="s">
        <v>122</v>
      </c>
      <c r="I318" s="51" t="s">
        <v>262</v>
      </c>
      <c r="J318" s="51" t="s">
        <v>116</v>
      </c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 s="40"/>
      <c r="CA318" s="40"/>
      <c r="CB318" s="40"/>
      <c r="CC318" s="40"/>
      <c r="CD318" s="40"/>
      <c r="CE318" s="40"/>
      <c r="CF318" s="40"/>
      <c r="CG318" s="40"/>
      <c r="CH318" s="40"/>
      <c r="CI318" s="40"/>
      <c r="CJ318" s="40"/>
    </row>
    <row r="319" spans="1:88" s="51" customFormat="1" ht="12.75">
      <c r="A319" s="50" t="s">
        <v>112</v>
      </c>
      <c r="B319" s="50" t="s">
        <v>273</v>
      </c>
      <c r="C319" s="51" t="s">
        <v>114</v>
      </c>
      <c r="D319" s="69">
        <f>(286*0.02)/365</f>
        <v>0.015671232876712328</v>
      </c>
      <c r="E319" s="69">
        <f>D319/1024</f>
        <v>1.5303938356164383E-05</v>
      </c>
      <c r="F319" s="15">
        <f>E319</f>
        <v>1.5303938356164383E-05</v>
      </c>
      <c r="G319" s="9"/>
      <c r="H319" s="53"/>
      <c r="I319" s="51" t="s">
        <v>262</v>
      </c>
      <c r="J319" s="51" t="s">
        <v>116</v>
      </c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 s="40"/>
      <c r="CA319" s="40"/>
      <c r="CB319" s="40"/>
      <c r="CC319" s="40"/>
      <c r="CD319" s="40"/>
      <c r="CE319" s="40"/>
      <c r="CF319" s="40"/>
      <c r="CG319" s="40"/>
      <c r="CH319" s="40"/>
      <c r="CI319" s="40"/>
      <c r="CJ319" s="40"/>
    </row>
    <row r="320" spans="1:88" s="79" customFormat="1" ht="13.5" thickBot="1">
      <c r="A320" s="58" t="s">
        <v>112</v>
      </c>
      <c r="B320" s="58" t="s">
        <v>307</v>
      </c>
      <c r="C320" s="59" t="s">
        <v>114</v>
      </c>
      <c r="D320" s="60">
        <f>(286*0.02)/365</f>
        <v>0.015671232876712328</v>
      </c>
      <c r="E320" s="60">
        <f>D320/1024</f>
        <v>1.5303938356164383E-05</v>
      </c>
      <c r="F320" s="18"/>
      <c r="G320" s="10"/>
      <c r="H320" s="61"/>
      <c r="I320" s="59" t="s">
        <v>262</v>
      </c>
      <c r="J320" s="59" t="s">
        <v>116</v>
      </c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 s="40"/>
      <c r="CA320" s="40"/>
      <c r="CB320" s="40"/>
      <c r="CC320" s="40"/>
      <c r="CD320" s="40"/>
      <c r="CE320" s="40"/>
      <c r="CF320" s="40"/>
      <c r="CG320" s="40"/>
      <c r="CH320" s="40"/>
      <c r="CI320" s="40"/>
      <c r="CJ320" s="40"/>
    </row>
    <row r="321" spans="1:8" ht="12.75">
      <c r="A321" s="62"/>
      <c r="B321" s="62"/>
      <c r="C321" s="5" t="s">
        <v>209</v>
      </c>
      <c r="D321" s="32">
        <f>SUM(D317:D320)</f>
        <v>3.5025205479452057</v>
      </c>
      <c r="E321" s="32">
        <f>D321/1024</f>
        <v>0.00342043022260274</v>
      </c>
      <c r="F321" s="19">
        <f>SUM(F317:F320)</f>
        <v>0.003229130993150685</v>
      </c>
      <c r="H321" s="63">
        <f>SUM(H317)</f>
        <v>0</v>
      </c>
    </row>
    <row r="323" spans="1:77" s="37" customFormat="1" ht="12.75">
      <c r="A323" s="35"/>
      <c r="B323" s="35" t="s">
        <v>86</v>
      </c>
      <c r="D323" s="36">
        <f>D307+D315+D321</f>
        <v>88.52861932772774</v>
      </c>
      <c r="E323" s="36">
        <f>E307+E315+E321</f>
        <v>0.08645372981223412</v>
      </c>
      <c r="F323" s="36">
        <f>F307+F315+F321</f>
        <v>0.04927515884863233</v>
      </c>
      <c r="G323" s="36">
        <f>G307+G315+G321</f>
        <v>0</v>
      </c>
      <c r="H323" s="36">
        <f>H307+H315+H321</f>
        <v>0</v>
      </c>
      <c r="I323" s="35"/>
      <c r="J323" s="35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</row>
    <row r="325" spans="1:88" s="81" customFormat="1" ht="12.75">
      <c r="A325" s="1" t="s">
        <v>45</v>
      </c>
      <c r="B325" s="1" t="s">
        <v>46</v>
      </c>
      <c r="C325" s="2" t="s">
        <v>303</v>
      </c>
      <c r="D325" s="26">
        <v>1.9164727330207825</v>
      </c>
      <c r="E325" s="26">
        <f>D325/1024</f>
        <v>0.0018715554033406079</v>
      </c>
      <c r="F325" s="15"/>
      <c r="G325" s="9"/>
      <c r="H325" s="53"/>
      <c r="I325" s="2" t="s">
        <v>262</v>
      </c>
      <c r="J325" s="2" t="s">
        <v>47</v>
      </c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 s="40"/>
      <c r="CA325" s="40"/>
      <c r="CB325" s="40"/>
      <c r="CC325" s="40"/>
      <c r="CD325" s="40"/>
      <c r="CE325" s="40"/>
      <c r="CF325" s="40"/>
      <c r="CG325" s="40"/>
      <c r="CH325" s="40"/>
      <c r="CI325" s="40"/>
      <c r="CJ325" s="40"/>
    </row>
    <row r="326" spans="1:88" s="81" customFormat="1" ht="12.75">
      <c r="A326" s="1" t="s">
        <v>45</v>
      </c>
      <c r="B326" s="98" t="s">
        <v>48</v>
      </c>
      <c r="C326" s="2" t="s">
        <v>303</v>
      </c>
      <c r="D326" s="26">
        <v>4.358080863952637</v>
      </c>
      <c r="E326" s="26">
        <f>D326/1024</f>
        <v>0.004255938343703747</v>
      </c>
      <c r="F326" s="15"/>
      <c r="G326" s="9">
        <f>E326</f>
        <v>0.004255938343703747</v>
      </c>
      <c r="H326" s="53" t="s">
        <v>122</v>
      </c>
      <c r="I326" s="2" t="s">
        <v>262</v>
      </c>
      <c r="J326" s="2" t="s">
        <v>47</v>
      </c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 s="40"/>
      <c r="CA326" s="40"/>
      <c r="CB326" s="40"/>
      <c r="CC326" s="40"/>
      <c r="CD326" s="40"/>
      <c r="CE326" s="40"/>
      <c r="CF326" s="40"/>
      <c r="CG326" s="40"/>
      <c r="CH326" s="40"/>
      <c r="CI326" s="40"/>
      <c r="CJ326" s="40"/>
    </row>
    <row r="327" spans="1:88" s="79" customFormat="1" ht="13.5" thickBot="1">
      <c r="A327" s="7" t="s">
        <v>45</v>
      </c>
      <c r="B327" s="7" t="s">
        <v>273</v>
      </c>
      <c r="C327" s="6" t="s">
        <v>303</v>
      </c>
      <c r="D327" s="27">
        <v>1.917957603931427</v>
      </c>
      <c r="E327" s="27">
        <f>D327/1024</f>
        <v>0.0018730054725892842</v>
      </c>
      <c r="F327" s="18"/>
      <c r="G327" s="10">
        <f>E327</f>
        <v>0.0018730054725892842</v>
      </c>
      <c r="H327" s="61"/>
      <c r="I327" s="6" t="s">
        <v>262</v>
      </c>
      <c r="J327" s="6" t="s">
        <v>47</v>
      </c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 s="40"/>
      <c r="CA327" s="40"/>
      <c r="CB327" s="40"/>
      <c r="CC327" s="40"/>
      <c r="CD327" s="40"/>
      <c r="CE327" s="40"/>
      <c r="CF327" s="40"/>
      <c r="CG327" s="40"/>
      <c r="CH327" s="40"/>
      <c r="CI327" s="40"/>
      <c r="CJ327" s="40"/>
    </row>
    <row r="328" spans="1:10" ht="12.75">
      <c r="A328" s="4"/>
      <c r="B328" s="4"/>
      <c r="C328" s="5" t="s">
        <v>150</v>
      </c>
      <c r="D328" s="32">
        <f>SUM(D325:D327)</f>
        <v>8.192511200904846</v>
      </c>
      <c r="E328" s="32">
        <f>SUM(E325:E327)</f>
        <v>0.008000499219633639</v>
      </c>
      <c r="F328" s="28"/>
      <c r="G328" s="20">
        <f>SUM(G325:G327)</f>
        <v>0.006128943816293031</v>
      </c>
      <c r="H328" s="63">
        <f>SUM(H325:H327)</f>
        <v>0</v>
      </c>
      <c r="I328" s="5"/>
      <c r="J328" s="5"/>
    </row>
    <row r="330" spans="1:77" s="37" customFormat="1" ht="12.75">
      <c r="A330" s="35"/>
      <c r="B330" s="35"/>
      <c r="C330" s="35" t="s">
        <v>87</v>
      </c>
      <c r="D330" s="36">
        <f>D328</f>
        <v>8.192511200904846</v>
      </c>
      <c r="E330" s="36">
        <f>E328</f>
        <v>0.008000499219633639</v>
      </c>
      <c r="F330" s="36">
        <f>F328</f>
        <v>0</v>
      </c>
      <c r="G330" s="36">
        <f>G328</f>
        <v>0.006128943816293031</v>
      </c>
      <c r="H330" s="36">
        <f>H328</f>
        <v>0</v>
      </c>
      <c r="I330" s="35"/>
      <c r="J330" s="35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</row>
    <row r="332" spans="1:88" s="81" customFormat="1" ht="12.75">
      <c r="A332" s="50" t="s">
        <v>244</v>
      </c>
      <c r="B332" s="96" t="s">
        <v>245</v>
      </c>
      <c r="C332" s="51" t="s">
        <v>126</v>
      </c>
      <c r="D332" s="52">
        <v>64.90019750595093</v>
      </c>
      <c r="E332" s="52">
        <f>D332/1024</f>
        <v>0.0633790991269052</v>
      </c>
      <c r="F332" s="15">
        <f>E332</f>
        <v>0.0633790991269052</v>
      </c>
      <c r="G332" s="9"/>
      <c r="H332" s="53"/>
      <c r="I332" s="2" t="s">
        <v>262</v>
      </c>
      <c r="J332" s="51" t="s">
        <v>248</v>
      </c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 s="40"/>
      <c r="CA332" s="40"/>
      <c r="CB332" s="40"/>
      <c r="CC332" s="40"/>
      <c r="CD332" s="40"/>
      <c r="CE332" s="40"/>
      <c r="CF332" s="40"/>
      <c r="CG332" s="40"/>
      <c r="CH332" s="40"/>
      <c r="CI332" s="40"/>
      <c r="CJ332" s="40"/>
    </row>
    <row r="333" spans="1:88" s="81" customFormat="1" ht="12.75">
      <c r="A333" s="50" t="s">
        <v>244</v>
      </c>
      <c r="B333" s="50" t="s">
        <v>246</v>
      </c>
      <c r="C333" s="51" t="s">
        <v>126</v>
      </c>
      <c r="D333" s="52">
        <v>2.8605875968933105</v>
      </c>
      <c r="E333" s="52">
        <f>D333/1024</f>
        <v>0.0027935425750911236</v>
      </c>
      <c r="F333" s="15"/>
      <c r="G333" s="9"/>
      <c r="H333" s="53" t="s">
        <v>122</v>
      </c>
      <c r="I333" s="2" t="s">
        <v>262</v>
      </c>
      <c r="J333" s="51" t="s">
        <v>248</v>
      </c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 s="40"/>
      <c r="CA333" s="40"/>
      <c r="CB333" s="40"/>
      <c r="CC333" s="40"/>
      <c r="CD333" s="40"/>
      <c r="CE333" s="40"/>
      <c r="CF333" s="40"/>
      <c r="CG333" s="40"/>
      <c r="CH333" s="40"/>
      <c r="CI333" s="40"/>
      <c r="CJ333" s="40"/>
    </row>
    <row r="334" spans="1:88" s="81" customFormat="1" ht="12.75">
      <c r="A334" s="50" t="s">
        <v>244</v>
      </c>
      <c r="B334" s="50" t="s">
        <v>247</v>
      </c>
      <c r="C334" s="51" t="s">
        <v>126</v>
      </c>
      <c r="D334" s="52">
        <v>2.889828681945801</v>
      </c>
      <c r="E334" s="52">
        <f>D334/1024</f>
        <v>0.002822098322212696</v>
      </c>
      <c r="F334" s="15"/>
      <c r="G334" s="9"/>
      <c r="H334" s="53"/>
      <c r="I334" s="2" t="s">
        <v>262</v>
      </c>
      <c r="J334" s="51" t="s">
        <v>248</v>
      </c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 s="40"/>
      <c r="CA334" s="40"/>
      <c r="CB334" s="40"/>
      <c r="CC334" s="40"/>
      <c r="CD334" s="40"/>
      <c r="CE334" s="40"/>
      <c r="CF334" s="40"/>
      <c r="CG334" s="40"/>
      <c r="CH334" s="40"/>
      <c r="CI334" s="40"/>
      <c r="CJ334" s="40"/>
    </row>
    <row r="335" spans="1:88" s="79" customFormat="1" ht="13.5" thickBot="1">
      <c r="A335" s="58" t="s">
        <v>244</v>
      </c>
      <c r="B335" s="58" t="s">
        <v>273</v>
      </c>
      <c r="C335" s="59" t="s">
        <v>126</v>
      </c>
      <c r="D335" s="60">
        <v>5.751927852630615</v>
      </c>
      <c r="E335" s="60">
        <f>D335/1024</f>
        <v>0.005617117043584585</v>
      </c>
      <c r="F335" s="18">
        <f>E335</f>
        <v>0.005617117043584585</v>
      </c>
      <c r="G335" s="10"/>
      <c r="H335" s="61"/>
      <c r="I335" s="6" t="s">
        <v>262</v>
      </c>
      <c r="J335" s="59" t="s">
        <v>248</v>
      </c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 s="40"/>
      <c r="CA335" s="40"/>
      <c r="CB335" s="40"/>
      <c r="CC335" s="40"/>
      <c r="CD335" s="40"/>
      <c r="CE335" s="40"/>
      <c r="CF335" s="40"/>
      <c r="CG335" s="40"/>
      <c r="CH335" s="40"/>
      <c r="CI335" s="40"/>
      <c r="CJ335" s="40"/>
    </row>
    <row r="336" spans="1:8" ht="12.75">
      <c r="A336" s="62"/>
      <c r="B336" s="62"/>
      <c r="C336" s="65" t="s">
        <v>267</v>
      </c>
      <c r="D336" s="66">
        <f>SUM(D332:D335)</f>
        <v>76.40254163742065</v>
      </c>
      <c r="E336" s="32">
        <f>D336/1024</f>
        <v>0.07461185706779361</v>
      </c>
      <c r="F336" s="19">
        <f>SUM(F332:F335)</f>
        <v>0.06899621617048979</v>
      </c>
      <c r="H336" s="63">
        <f>SUM(H332:H335)</f>
        <v>0</v>
      </c>
    </row>
    <row r="337" spans="1:5" ht="12.75">
      <c r="A337" s="62"/>
      <c r="B337" s="62"/>
      <c r="C337" s="65"/>
      <c r="D337" s="66"/>
      <c r="E337" s="66"/>
    </row>
    <row r="338" spans="1:77" s="37" customFormat="1" ht="12.75">
      <c r="A338" s="35"/>
      <c r="B338" s="35"/>
      <c r="C338" s="35" t="s">
        <v>88</v>
      </c>
      <c r="D338" s="36">
        <f>D336</f>
        <v>76.40254163742065</v>
      </c>
      <c r="E338" s="36">
        <f>E336</f>
        <v>0.07461185706779361</v>
      </c>
      <c r="F338" s="36">
        <f>F336</f>
        <v>0.06899621617048979</v>
      </c>
      <c r="G338" s="36">
        <f>G336</f>
        <v>0</v>
      </c>
      <c r="H338" s="36">
        <f>H336</f>
        <v>0</v>
      </c>
      <c r="I338" s="35"/>
      <c r="J338" s="35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</row>
    <row r="340" spans="1:88" s="81" customFormat="1" ht="12.75">
      <c r="A340" s="50" t="s">
        <v>249</v>
      </c>
      <c r="B340" s="96" t="s">
        <v>250</v>
      </c>
      <c r="C340" s="51" t="s">
        <v>0</v>
      </c>
      <c r="D340" s="52">
        <v>4.342008888721466</v>
      </c>
      <c r="E340" s="52">
        <f>D340/1024</f>
        <v>0.004240243055392057</v>
      </c>
      <c r="F340" s="15">
        <f>E340</f>
        <v>0.004240243055392057</v>
      </c>
      <c r="G340" s="9"/>
      <c r="H340" s="53"/>
      <c r="I340" s="2" t="s">
        <v>262</v>
      </c>
      <c r="J340" s="51" t="s">
        <v>253</v>
      </c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 s="40"/>
      <c r="CA340" s="40"/>
      <c r="CB340" s="40"/>
      <c r="CC340" s="40"/>
      <c r="CD340" s="40"/>
      <c r="CE340" s="40"/>
      <c r="CF340" s="40"/>
      <c r="CG340" s="40"/>
      <c r="CH340" s="40"/>
      <c r="CI340" s="40"/>
      <c r="CJ340" s="40"/>
    </row>
    <row r="341" spans="1:88" s="81" customFormat="1" ht="12.75">
      <c r="A341" s="50" t="s">
        <v>249</v>
      </c>
      <c r="B341" s="50" t="s">
        <v>251</v>
      </c>
      <c r="C341" s="51" t="s">
        <v>0</v>
      </c>
      <c r="D341" s="52">
        <v>0.16420114040374756</v>
      </c>
      <c r="E341" s="52">
        <f>D341/1024</f>
        <v>0.00016035267617553473</v>
      </c>
      <c r="F341" s="15"/>
      <c r="G341" s="9"/>
      <c r="H341" s="53" t="s">
        <v>122</v>
      </c>
      <c r="I341" s="2" t="s">
        <v>262</v>
      </c>
      <c r="J341" s="51" t="s">
        <v>253</v>
      </c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 s="40"/>
      <c r="CA341" s="40"/>
      <c r="CB341" s="40"/>
      <c r="CC341" s="40"/>
      <c r="CD341" s="40"/>
      <c r="CE341" s="40"/>
      <c r="CF341" s="40"/>
      <c r="CG341" s="40"/>
      <c r="CH341" s="40"/>
      <c r="CI341" s="40"/>
      <c r="CJ341" s="40"/>
    </row>
    <row r="342" spans="1:88" s="81" customFormat="1" ht="12.75">
      <c r="A342" s="50" t="s">
        <v>249</v>
      </c>
      <c r="B342" s="50" t="s">
        <v>252</v>
      </c>
      <c r="C342" s="51" t="s">
        <v>0</v>
      </c>
      <c r="D342" s="52">
        <v>0.16658276319503784</v>
      </c>
      <c r="E342" s="52">
        <f>D342/1024</f>
        <v>0.00016267847968265414</v>
      </c>
      <c r="F342" s="15"/>
      <c r="G342" s="9"/>
      <c r="H342" s="53"/>
      <c r="I342" s="2" t="s">
        <v>262</v>
      </c>
      <c r="J342" s="51" t="s">
        <v>253</v>
      </c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 s="40"/>
      <c r="CA342" s="40"/>
      <c r="CB342" s="40"/>
      <c r="CC342" s="40"/>
      <c r="CD342" s="40"/>
      <c r="CE342" s="40"/>
      <c r="CF342" s="40"/>
      <c r="CG342" s="40"/>
      <c r="CH342" s="40"/>
      <c r="CI342" s="40"/>
      <c r="CJ342" s="40"/>
    </row>
    <row r="343" spans="1:88" s="79" customFormat="1" ht="13.5" thickBot="1">
      <c r="A343" s="58" t="s">
        <v>249</v>
      </c>
      <c r="B343" s="58" t="s">
        <v>273</v>
      </c>
      <c r="C343" s="59" t="s">
        <v>0</v>
      </c>
      <c r="D343" s="60">
        <v>0.3308783769607544</v>
      </c>
      <c r="E343" s="60">
        <f>D343/1024</f>
        <v>0.0003231234150007367</v>
      </c>
      <c r="F343" s="18">
        <f>E343</f>
        <v>0.0003231234150007367</v>
      </c>
      <c r="G343" s="10"/>
      <c r="H343" s="61"/>
      <c r="I343" s="6" t="s">
        <v>262</v>
      </c>
      <c r="J343" s="59" t="s">
        <v>253</v>
      </c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 s="40"/>
      <c r="CA343" s="40"/>
      <c r="CB343" s="40"/>
      <c r="CC343" s="40"/>
      <c r="CD343" s="40"/>
      <c r="CE343" s="40"/>
      <c r="CF343" s="40"/>
      <c r="CG343" s="40"/>
      <c r="CH343" s="40"/>
      <c r="CI343" s="40"/>
      <c r="CJ343" s="40"/>
    </row>
    <row r="344" spans="1:8" ht="12.75">
      <c r="A344" s="62"/>
      <c r="B344" s="62"/>
      <c r="C344" s="65" t="s">
        <v>267</v>
      </c>
      <c r="D344" s="66">
        <f>SUM(D340:D343)</f>
        <v>5.003671169281006</v>
      </c>
      <c r="E344" s="32">
        <f>D344/1024</f>
        <v>0.004886397626250982</v>
      </c>
      <c r="F344" s="19">
        <f>SUM(F340:F343)</f>
        <v>0.004563366470392793</v>
      </c>
      <c r="H344" s="63">
        <f>SUM(H340:H343)</f>
        <v>0</v>
      </c>
    </row>
    <row r="345" spans="1:5" ht="12.75">
      <c r="A345" s="62"/>
      <c r="B345" s="62"/>
      <c r="C345" s="65"/>
      <c r="D345" s="66"/>
      <c r="E345" s="66"/>
    </row>
    <row r="346" spans="1:77" s="37" customFormat="1" ht="12.75">
      <c r="A346" s="35"/>
      <c r="B346" s="35"/>
      <c r="C346" s="35" t="s">
        <v>89</v>
      </c>
      <c r="D346" s="36">
        <f>D344</f>
        <v>5.003671169281006</v>
      </c>
      <c r="E346" s="36">
        <f>E344</f>
        <v>0.004886397626250982</v>
      </c>
      <c r="F346" s="36">
        <f>F344</f>
        <v>0.004563366470392793</v>
      </c>
      <c r="G346" s="36">
        <f>G344</f>
        <v>0</v>
      </c>
      <c r="H346" s="36">
        <f>H344</f>
        <v>0</v>
      </c>
      <c r="I346" s="35"/>
      <c r="J346" s="35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</row>
    <row r="348" spans="1:88" s="81" customFormat="1" ht="12.75">
      <c r="A348" s="50" t="s">
        <v>49</v>
      </c>
      <c r="B348" s="50" t="s">
        <v>51</v>
      </c>
      <c r="C348" s="51" t="s">
        <v>126</v>
      </c>
      <c r="D348" s="52">
        <v>0.2874308228492737</v>
      </c>
      <c r="E348" s="52">
        <f>D348/1024</f>
        <v>0.00028069416293874383</v>
      </c>
      <c r="F348" s="15"/>
      <c r="G348" s="9"/>
      <c r="H348" s="53" t="s">
        <v>122</v>
      </c>
      <c r="I348" s="51" t="s">
        <v>262</v>
      </c>
      <c r="J348" s="51" t="s">
        <v>52</v>
      </c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 s="40"/>
      <c r="CA348" s="40"/>
      <c r="CB348" s="40"/>
      <c r="CC348" s="40"/>
      <c r="CD348" s="40"/>
      <c r="CE348" s="40"/>
      <c r="CF348" s="40"/>
      <c r="CG348" s="40"/>
      <c r="CH348" s="40"/>
      <c r="CI348" s="40"/>
      <c r="CJ348" s="40"/>
    </row>
    <row r="349" spans="1:88" s="81" customFormat="1" ht="12.75">
      <c r="A349" s="50" t="s">
        <v>49</v>
      </c>
      <c r="B349" s="96" t="s">
        <v>53</v>
      </c>
      <c r="C349" s="51" t="s">
        <v>126</v>
      </c>
      <c r="D349" s="52">
        <v>0.32909274101257324</v>
      </c>
      <c r="E349" s="52">
        <f>D349/1024</f>
        <v>0.00032137962989509106</v>
      </c>
      <c r="G349" s="9">
        <f>E349</f>
        <v>0.00032137962989509106</v>
      </c>
      <c r="H349" s="53"/>
      <c r="I349" s="51" t="s">
        <v>262</v>
      </c>
      <c r="J349" s="51" t="s">
        <v>52</v>
      </c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 s="40"/>
      <c r="CA349" s="40"/>
      <c r="CB349" s="40"/>
      <c r="CC349" s="40"/>
      <c r="CD349" s="40"/>
      <c r="CE349" s="40"/>
      <c r="CF349" s="40"/>
      <c r="CG349" s="40"/>
      <c r="CH349" s="40"/>
      <c r="CI349" s="40"/>
      <c r="CJ349" s="40"/>
    </row>
    <row r="350" spans="1:88" s="79" customFormat="1" ht="13.5" thickBot="1">
      <c r="A350" s="58" t="s">
        <v>49</v>
      </c>
      <c r="B350" s="58" t="s">
        <v>273</v>
      </c>
      <c r="C350" s="59" t="s">
        <v>126</v>
      </c>
      <c r="D350" s="60">
        <v>0.28761643171310425</v>
      </c>
      <c r="E350" s="60">
        <f>D350/1024</f>
        <v>0.00028087542159482837</v>
      </c>
      <c r="G350" s="10">
        <f>E350</f>
        <v>0.00028087542159482837</v>
      </c>
      <c r="H350" s="61"/>
      <c r="I350" s="59" t="s">
        <v>262</v>
      </c>
      <c r="J350" s="59" t="s">
        <v>52</v>
      </c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 s="40"/>
      <c r="CA350" s="40"/>
      <c r="CB350" s="40"/>
      <c r="CC350" s="40"/>
      <c r="CD350" s="40"/>
      <c r="CE350" s="40"/>
      <c r="CF350" s="40"/>
      <c r="CG350" s="40"/>
      <c r="CH350" s="40"/>
      <c r="CI350" s="40"/>
      <c r="CJ350" s="40"/>
    </row>
    <row r="351" spans="1:8" ht="12.75">
      <c r="A351" s="62"/>
      <c r="B351" s="62"/>
      <c r="C351" s="5" t="s">
        <v>150</v>
      </c>
      <c r="D351" s="32">
        <f>SUM(D348:D350)</f>
        <v>0.9041399955749512</v>
      </c>
      <c r="E351" s="32">
        <f>D351/1024</f>
        <v>0.0008829492144286633</v>
      </c>
      <c r="G351" s="29">
        <f>SUM(G348:G350)</f>
        <v>0.0006022550514899194</v>
      </c>
      <c r="H351" s="63">
        <f>SUM(H348:H350)</f>
        <v>0</v>
      </c>
    </row>
    <row r="353" spans="1:77" s="37" customFormat="1" ht="12.75">
      <c r="A353" s="35"/>
      <c r="B353" s="35"/>
      <c r="C353" s="35" t="s">
        <v>90</v>
      </c>
      <c r="D353" s="36">
        <f>D351</f>
        <v>0.9041399955749512</v>
      </c>
      <c r="E353" s="36">
        <f>E351</f>
        <v>0.0008829492144286633</v>
      </c>
      <c r="F353" s="36">
        <f>G351</f>
        <v>0.0006022550514899194</v>
      </c>
      <c r="G353" s="36">
        <f>H351</f>
        <v>0</v>
      </c>
      <c r="H353" s="36">
        <f>H351</f>
        <v>0</v>
      </c>
      <c r="I353" s="35"/>
      <c r="J353" s="35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</row>
    <row r="355" spans="1:88" s="81" customFormat="1" ht="12.75">
      <c r="A355" s="50" t="s">
        <v>54</v>
      </c>
      <c r="B355" s="50" t="s">
        <v>55</v>
      </c>
      <c r="C355" s="51" t="s">
        <v>303</v>
      </c>
      <c r="D355" s="52">
        <v>1.947204351425171</v>
      </c>
      <c r="E355" s="52">
        <f aca="true" t="shared" si="16" ref="E355:E361">D355/1024</f>
        <v>0.0019015667494386435</v>
      </c>
      <c r="F355" s="15"/>
      <c r="G355" s="9"/>
      <c r="H355" s="53"/>
      <c r="I355" s="51" t="s">
        <v>262</v>
      </c>
      <c r="J355" s="51" t="s">
        <v>56</v>
      </c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 s="40"/>
      <c r="CA355" s="40"/>
      <c r="CB355" s="40"/>
      <c r="CC355" s="40"/>
      <c r="CD355" s="40"/>
      <c r="CE355" s="40"/>
      <c r="CF355" s="40"/>
      <c r="CG355" s="40"/>
      <c r="CH355" s="40"/>
      <c r="CI355" s="40"/>
      <c r="CJ355" s="40"/>
    </row>
    <row r="356" spans="1:88" s="81" customFormat="1" ht="12.75">
      <c r="A356" s="50" t="s">
        <v>54</v>
      </c>
      <c r="B356" s="50" t="s">
        <v>57</v>
      </c>
      <c r="C356" s="51" t="s">
        <v>303</v>
      </c>
      <c r="D356" s="52">
        <v>0.9653363227844238</v>
      </c>
      <c r="E356" s="52">
        <f t="shared" si="16"/>
        <v>0.0009427112527191639</v>
      </c>
      <c r="F356" s="15"/>
      <c r="G356" s="9"/>
      <c r="H356" s="53"/>
      <c r="I356" s="51" t="s">
        <v>262</v>
      </c>
      <c r="J356" s="51" t="s">
        <v>56</v>
      </c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 s="40"/>
      <c r="CA356" s="40"/>
      <c r="CB356" s="40"/>
      <c r="CC356" s="40"/>
      <c r="CD356" s="40"/>
      <c r="CE356" s="40"/>
      <c r="CF356" s="40"/>
      <c r="CG356" s="40"/>
      <c r="CH356" s="40"/>
      <c r="CI356" s="40"/>
      <c r="CJ356" s="40"/>
    </row>
    <row r="357" spans="1:88" s="81" customFormat="1" ht="12.75">
      <c r="A357" s="50" t="s">
        <v>54</v>
      </c>
      <c r="B357" s="50" t="s">
        <v>58</v>
      </c>
      <c r="C357" s="51" t="s">
        <v>303</v>
      </c>
      <c r="D357" s="52">
        <v>2.0255550146102905</v>
      </c>
      <c r="E357" s="52">
        <f t="shared" si="16"/>
        <v>0.001978081068955362</v>
      </c>
      <c r="F357" s="15"/>
      <c r="G357" s="9"/>
      <c r="H357" s="53"/>
      <c r="I357" s="51" t="s">
        <v>262</v>
      </c>
      <c r="J357" s="51" t="s">
        <v>56</v>
      </c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 s="40"/>
      <c r="CA357" s="40"/>
      <c r="CB357" s="40"/>
      <c r="CC357" s="40"/>
      <c r="CD357" s="40"/>
      <c r="CE357" s="40"/>
      <c r="CF357" s="40"/>
      <c r="CG357" s="40"/>
      <c r="CH357" s="40"/>
      <c r="CI357" s="40"/>
      <c r="CJ357" s="40"/>
    </row>
    <row r="358" spans="1:88" s="81" customFormat="1" ht="12.75">
      <c r="A358" s="50" t="s">
        <v>54</v>
      </c>
      <c r="B358" s="50" t="s">
        <v>59</v>
      </c>
      <c r="C358" s="51" t="s">
        <v>303</v>
      </c>
      <c r="D358" s="52">
        <v>1.2415014505386353</v>
      </c>
      <c r="E358" s="52">
        <f t="shared" si="16"/>
        <v>0.001212403760291636</v>
      </c>
      <c r="F358" s="15"/>
      <c r="G358" s="9"/>
      <c r="H358" s="53"/>
      <c r="I358" s="51" t="s">
        <v>262</v>
      </c>
      <c r="J358" s="51" t="s">
        <v>56</v>
      </c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 s="40"/>
      <c r="CA358" s="40"/>
      <c r="CB358" s="40"/>
      <c r="CC358" s="40"/>
      <c r="CD358" s="40"/>
      <c r="CE358" s="40"/>
      <c r="CF358" s="40"/>
      <c r="CG358" s="40"/>
      <c r="CH358" s="40"/>
      <c r="CI358" s="40"/>
      <c r="CJ358" s="40"/>
    </row>
    <row r="359" spans="1:88" s="81" customFormat="1" ht="12.75">
      <c r="A359" s="50" t="s">
        <v>54</v>
      </c>
      <c r="B359" s="96" t="s">
        <v>60</v>
      </c>
      <c r="C359" s="51" t="s">
        <v>303</v>
      </c>
      <c r="D359" s="52">
        <v>2.994109332561493</v>
      </c>
      <c r="E359" s="52">
        <f t="shared" si="16"/>
        <v>0.002923934895079583</v>
      </c>
      <c r="F359" s="15"/>
      <c r="G359" s="9">
        <f>E359</f>
        <v>0.002923934895079583</v>
      </c>
      <c r="H359" s="53"/>
      <c r="I359" s="51" t="s">
        <v>262</v>
      </c>
      <c r="J359" s="51" t="s">
        <v>56</v>
      </c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 s="40"/>
      <c r="CA359" s="40"/>
      <c r="CB359" s="40"/>
      <c r="CC359" s="40"/>
      <c r="CD359" s="40"/>
      <c r="CE359" s="40"/>
      <c r="CF359" s="40"/>
      <c r="CG359" s="40"/>
      <c r="CH359" s="40"/>
      <c r="CI359" s="40"/>
      <c r="CJ359" s="40"/>
    </row>
    <row r="360" spans="1:88" s="79" customFormat="1" ht="13.5" thickBot="1">
      <c r="A360" s="58" t="s">
        <v>54</v>
      </c>
      <c r="B360" s="58" t="s">
        <v>273</v>
      </c>
      <c r="C360" s="59" t="s">
        <v>303</v>
      </c>
      <c r="D360" s="60">
        <v>6.181352853775024</v>
      </c>
      <c r="E360" s="60">
        <f t="shared" si="16"/>
        <v>0.006036477396264672</v>
      </c>
      <c r="F360" s="18"/>
      <c r="G360" s="10">
        <f>E360</f>
        <v>0.006036477396264672</v>
      </c>
      <c r="H360" s="61" t="s">
        <v>122</v>
      </c>
      <c r="I360" s="59" t="s">
        <v>262</v>
      </c>
      <c r="J360" s="59" t="s">
        <v>56</v>
      </c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 s="40"/>
      <c r="CA360" s="40"/>
      <c r="CB360" s="40"/>
      <c r="CC360" s="40"/>
      <c r="CD360" s="40"/>
      <c r="CE360" s="40"/>
      <c r="CF360" s="40"/>
      <c r="CG360" s="40"/>
      <c r="CH360" s="40"/>
      <c r="CI360" s="40"/>
      <c r="CJ360" s="40"/>
    </row>
    <row r="361" spans="1:8" ht="12.75">
      <c r="A361" s="62"/>
      <c r="B361" s="62"/>
      <c r="C361" s="5" t="s">
        <v>150</v>
      </c>
      <c r="D361" s="32">
        <f>SUM(D355:D360)</f>
        <v>15.355059325695038</v>
      </c>
      <c r="E361" s="32">
        <f t="shared" si="16"/>
        <v>0.01499517512274906</v>
      </c>
      <c r="G361" s="20">
        <f>SUM(G355:G360)</f>
        <v>0.008960412291344255</v>
      </c>
      <c r="H361" s="63">
        <f>SUM(H355:H360)</f>
        <v>0</v>
      </c>
    </row>
    <row r="363" spans="1:77" s="37" customFormat="1" ht="12.75">
      <c r="A363" s="35"/>
      <c r="B363" s="35"/>
      <c r="C363" s="35" t="s">
        <v>91</v>
      </c>
      <c r="D363" s="36">
        <f>D361</f>
        <v>15.355059325695038</v>
      </c>
      <c r="E363" s="36">
        <f>E361</f>
        <v>0.01499517512274906</v>
      </c>
      <c r="F363" s="36">
        <f>F361</f>
        <v>0</v>
      </c>
      <c r="G363" s="36">
        <f>G361</f>
        <v>0.008960412291344255</v>
      </c>
      <c r="H363" s="36">
        <f>H361</f>
        <v>0</v>
      </c>
      <c r="I363" s="35"/>
      <c r="J363" s="35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</row>
    <row r="365" spans="1:88" s="81" customFormat="1" ht="12.75">
      <c r="A365" s="51" t="s">
        <v>61</v>
      </c>
      <c r="B365" s="100" t="s">
        <v>62</v>
      </c>
      <c r="C365" s="51" t="s">
        <v>184</v>
      </c>
      <c r="D365" s="52">
        <f>(240*0.85)/30</f>
        <v>6.8</v>
      </c>
      <c r="E365" s="52">
        <f>D365/1024</f>
        <v>0.006640625</v>
      </c>
      <c r="F365" s="15">
        <f>E365</f>
        <v>0.006640625</v>
      </c>
      <c r="G365" s="9"/>
      <c r="H365" s="53"/>
      <c r="I365" s="51" t="s">
        <v>63</v>
      </c>
      <c r="J365" s="51" t="s">
        <v>64</v>
      </c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 s="40"/>
      <c r="CA365" s="40"/>
      <c r="CB365" s="40"/>
      <c r="CC365" s="40"/>
      <c r="CD365" s="40"/>
      <c r="CE365" s="40"/>
      <c r="CF365" s="40"/>
      <c r="CG365" s="40"/>
      <c r="CH365" s="40"/>
      <c r="CI365" s="40"/>
      <c r="CJ365" s="40"/>
    </row>
    <row r="366" spans="1:88" s="79" customFormat="1" ht="13.5" thickBot="1">
      <c r="A366" s="59" t="s">
        <v>61</v>
      </c>
      <c r="B366" s="101" t="s">
        <v>65</v>
      </c>
      <c r="C366" s="59" t="s">
        <v>184</v>
      </c>
      <c r="D366" s="60">
        <f>(240*9)/30</f>
        <v>72</v>
      </c>
      <c r="E366" s="60">
        <f>D366/1024</f>
        <v>0.0703125</v>
      </c>
      <c r="F366" s="18"/>
      <c r="G366" s="10"/>
      <c r="H366" s="61"/>
      <c r="I366" s="59" t="s">
        <v>63</v>
      </c>
      <c r="J366" s="59" t="s">
        <v>64</v>
      </c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 s="40"/>
      <c r="CA366" s="40"/>
      <c r="CB366" s="40"/>
      <c r="CC366" s="40"/>
      <c r="CD366" s="40"/>
      <c r="CE366" s="40"/>
      <c r="CF366" s="40"/>
      <c r="CG366" s="40"/>
      <c r="CH366" s="40"/>
      <c r="CI366" s="40"/>
      <c r="CJ366" s="40"/>
    </row>
    <row r="367" spans="1:8" ht="12.75">
      <c r="A367" s="62"/>
      <c r="B367" s="62"/>
      <c r="C367" s="73" t="s">
        <v>209</v>
      </c>
      <c r="D367" s="63">
        <f>SUM(D365:D366)</f>
        <v>78.8</v>
      </c>
      <c r="E367" s="63">
        <f>D367/1024</f>
        <v>0.076953125</v>
      </c>
      <c r="F367" s="19">
        <f>SUM(F365:F366)</f>
        <v>0.006640625</v>
      </c>
      <c r="H367" s="63">
        <f>SUM(H365:H366)</f>
        <v>0</v>
      </c>
    </row>
    <row r="369" spans="1:77" s="92" customFormat="1" ht="12.75">
      <c r="A369" s="90"/>
      <c r="B369" s="90"/>
      <c r="C369" s="90" t="s">
        <v>92</v>
      </c>
      <c r="D369" s="91">
        <f>D367</f>
        <v>78.8</v>
      </c>
      <c r="E369" s="91">
        <f>E367</f>
        <v>0.076953125</v>
      </c>
      <c r="F369" s="91">
        <f>F367</f>
        <v>0.006640625</v>
      </c>
      <c r="G369" s="91">
        <f>G367</f>
        <v>0</v>
      </c>
      <c r="H369" s="91">
        <f>H367</f>
        <v>0</v>
      </c>
      <c r="I369" s="90"/>
      <c r="J369" s="90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</row>
    <row r="370" spans="1:10" ht="12.75">
      <c r="A370" s="40"/>
      <c r="B370" s="40"/>
      <c r="C370" s="40"/>
      <c r="D370" s="86"/>
      <c r="E370" s="86"/>
      <c r="F370" s="86"/>
      <c r="G370" s="86"/>
      <c r="H370" s="86"/>
      <c r="I370" s="40"/>
      <c r="J370" s="87"/>
    </row>
    <row r="371" spans="1:10" ht="12.75">
      <c r="A371" s="37"/>
      <c r="B371" s="37"/>
      <c r="C371" s="37" t="s">
        <v>93</v>
      </c>
      <c r="D371" s="93"/>
      <c r="E371" s="93">
        <f>E369+E363+E353+E346+E338+E330+E323+E304+E289+E284+E276+E268+E260+E253+E189+E161+E113+E97+E77+E35+E21+E233</f>
        <v>268.01115392538003</v>
      </c>
      <c r="F371" s="93">
        <f>F369+F363+F353+F346+F338+F330+F323+F304+F289+F284+F276+F268+F260+F253+F189+F161+F113+F97+F77+F35+F21+F233</f>
        <v>65.39955049638252</v>
      </c>
      <c r="G371" s="93">
        <f>G369+G363+G353+G346+G338+G330+G323+G304+G289+G284+G276+G268+G260+G253+G189+G161+G113+G97+G77+G35+G21+G233</f>
        <v>0.6917813668841607</v>
      </c>
      <c r="H371" s="93">
        <f>H369+H363+H353+H346+H338+H330+H323+H304+H289+H284+H276+H268+H260+H253+H189+H161+H113+H97+H77+H35+H21+H233</f>
        <v>2.798947376286374</v>
      </c>
      <c r="I371" s="37"/>
      <c r="J371" s="94"/>
    </row>
    <row r="372" spans="1:10" ht="12.75">
      <c r="A372" s="40"/>
      <c r="B372" s="40"/>
      <c r="C372" s="40"/>
      <c r="D372" s="86"/>
      <c r="E372" s="86"/>
      <c r="F372" s="86"/>
      <c r="G372" s="86"/>
      <c r="H372" s="86"/>
      <c r="I372" s="40"/>
      <c r="J372" s="87"/>
    </row>
    <row r="373" spans="1:10" ht="12.75">
      <c r="A373" s="40"/>
      <c r="B373" s="102" t="s">
        <v>50</v>
      </c>
      <c r="C373" s="40"/>
      <c r="D373" s="86"/>
      <c r="E373" s="86"/>
      <c r="F373" s="86"/>
      <c r="G373" s="86"/>
      <c r="H373" s="86"/>
      <c r="I373" s="40"/>
      <c r="J373" s="87"/>
    </row>
    <row r="374" spans="1:10" ht="12.75">
      <c r="A374" s="40"/>
      <c r="B374" s="40"/>
      <c r="C374" s="40"/>
      <c r="D374" s="86"/>
      <c r="E374" s="86"/>
      <c r="F374" s="86"/>
      <c r="G374" s="86"/>
      <c r="H374" s="86"/>
      <c r="I374" s="40"/>
      <c r="J374" s="87"/>
    </row>
    <row r="375" spans="1:10" ht="12.75">
      <c r="A375" s="40"/>
      <c r="B375" s="40"/>
      <c r="C375" s="40"/>
      <c r="D375" s="86"/>
      <c r="E375" s="86"/>
      <c r="F375" s="86"/>
      <c r="G375" s="86"/>
      <c r="H375" s="86"/>
      <c r="I375" s="40"/>
      <c r="J375" s="87"/>
    </row>
    <row r="376" spans="1:10" ht="12.75">
      <c r="A376" s="40"/>
      <c r="B376" s="40"/>
      <c r="C376" s="40"/>
      <c r="D376" s="86"/>
      <c r="E376" s="86"/>
      <c r="F376" s="86"/>
      <c r="G376" s="86"/>
      <c r="H376" s="86"/>
      <c r="I376" s="40"/>
      <c r="J376" s="87"/>
    </row>
    <row r="377" spans="1:10" ht="12.75">
      <c r="A377" s="40"/>
      <c r="B377" s="40"/>
      <c r="C377" s="40"/>
      <c r="D377" s="86"/>
      <c r="E377" s="86"/>
      <c r="F377" s="86"/>
      <c r="G377" s="86"/>
      <c r="H377" s="86"/>
      <c r="I377" s="40"/>
      <c r="J377" s="87"/>
    </row>
    <row r="378" spans="1:10" ht="12.75">
      <c r="A378" s="40"/>
      <c r="B378" s="40"/>
      <c r="C378" s="40"/>
      <c r="D378" s="86"/>
      <c r="E378" s="86"/>
      <c r="F378" s="86"/>
      <c r="G378" s="86"/>
      <c r="H378" s="86"/>
      <c r="I378" s="40"/>
      <c r="J378" s="87"/>
    </row>
    <row r="379" spans="1:10" ht="12.75">
      <c r="A379" s="40"/>
      <c r="B379" s="40"/>
      <c r="C379" s="40"/>
      <c r="D379" s="86"/>
      <c r="E379" s="86"/>
      <c r="F379" s="86"/>
      <c r="G379" s="86"/>
      <c r="H379" s="86"/>
      <c r="I379" s="40"/>
      <c r="J379" s="87"/>
    </row>
    <row r="380" spans="1:10" ht="12.75">
      <c r="A380" s="40"/>
      <c r="B380" s="40"/>
      <c r="C380" s="40"/>
      <c r="D380" s="86"/>
      <c r="E380" s="86"/>
      <c r="F380" s="86"/>
      <c r="G380" s="86"/>
      <c r="H380" s="86"/>
      <c r="I380" s="40"/>
      <c r="J380" s="87"/>
    </row>
    <row r="381" spans="1:10" ht="12.75">
      <c r="A381" s="40"/>
      <c r="B381" s="40"/>
      <c r="C381" s="40"/>
      <c r="D381" s="86"/>
      <c r="E381" s="86"/>
      <c r="F381" s="86"/>
      <c r="G381" s="86"/>
      <c r="H381" s="86"/>
      <c r="I381" s="40"/>
      <c r="J381" s="87"/>
    </row>
    <row r="382" spans="1:10" ht="12.75">
      <c r="A382" s="40"/>
      <c r="B382" s="40"/>
      <c r="C382" s="40"/>
      <c r="D382" s="86"/>
      <c r="E382" s="86"/>
      <c r="F382" s="86"/>
      <c r="G382" s="86"/>
      <c r="H382" s="86"/>
      <c r="I382" s="40"/>
      <c r="J382" s="87"/>
    </row>
    <row r="383" spans="1:10" ht="12.75">
      <c r="A383" s="40"/>
      <c r="B383" s="40"/>
      <c r="C383" s="40"/>
      <c r="D383" s="86"/>
      <c r="E383" s="86"/>
      <c r="F383" s="86"/>
      <c r="G383" s="86"/>
      <c r="H383" s="86"/>
      <c r="I383" s="40"/>
      <c r="J383" s="87"/>
    </row>
    <row r="384" spans="1:10" ht="12.75">
      <c r="A384" s="40"/>
      <c r="B384" s="40"/>
      <c r="C384" s="40"/>
      <c r="D384" s="86"/>
      <c r="E384" s="86"/>
      <c r="F384" s="86"/>
      <c r="G384" s="86"/>
      <c r="H384" s="86"/>
      <c r="I384" s="40"/>
      <c r="J384" s="87"/>
    </row>
    <row r="385" spans="1:10" ht="12.75">
      <c r="A385" s="40"/>
      <c r="B385" s="40"/>
      <c r="C385" s="40"/>
      <c r="D385" s="86"/>
      <c r="E385" s="86"/>
      <c r="F385" s="86"/>
      <c r="G385" s="86"/>
      <c r="H385" s="86"/>
      <c r="I385" s="40"/>
      <c r="J385" s="87"/>
    </row>
    <row r="386" spans="1:10" ht="12.75">
      <c r="A386" s="40"/>
      <c r="B386" s="40"/>
      <c r="C386" s="40"/>
      <c r="D386" s="86"/>
      <c r="E386" s="86"/>
      <c r="F386" s="86"/>
      <c r="G386" s="86"/>
      <c r="H386" s="86"/>
      <c r="I386" s="40"/>
      <c r="J386" s="87"/>
    </row>
    <row r="387" spans="1:10" ht="12.75">
      <c r="A387" s="40"/>
      <c r="B387" s="40"/>
      <c r="C387" s="40"/>
      <c r="D387" s="86"/>
      <c r="E387" s="86"/>
      <c r="F387" s="86"/>
      <c r="G387" s="86"/>
      <c r="H387" s="86"/>
      <c r="I387" s="40"/>
      <c r="J387" s="87"/>
    </row>
    <row r="388" spans="1:10" ht="12.75">
      <c r="A388" s="40"/>
      <c r="B388" s="40"/>
      <c r="C388" s="40"/>
      <c r="D388" s="86"/>
      <c r="E388" s="86"/>
      <c r="F388" s="86"/>
      <c r="G388" s="86"/>
      <c r="H388" s="86"/>
      <c r="I388" s="40"/>
      <c r="J388" s="87"/>
    </row>
    <row r="389" spans="1:10" ht="12.75">
      <c r="A389" s="40"/>
      <c r="B389" s="40"/>
      <c r="C389" s="40"/>
      <c r="D389" s="86"/>
      <c r="E389" s="86"/>
      <c r="F389" s="86"/>
      <c r="G389" s="86"/>
      <c r="H389" s="86"/>
      <c r="I389" s="40"/>
      <c r="J389" s="87"/>
    </row>
    <row r="390" spans="1:10" ht="12.75">
      <c r="A390" s="40"/>
      <c r="B390" s="40"/>
      <c r="C390" s="40"/>
      <c r="D390" s="86"/>
      <c r="E390" s="86"/>
      <c r="F390" s="86"/>
      <c r="G390" s="86"/>
      <c r="H390" s="86"/>
      <c r="I390" s="40"/>
      <c r="J390" s="87"/>
    </row>
    <row r="391" spans="1:10" ht="12.75">
      <c r="A391" s="40"/>
      <c r="B391" s="40"/>
      <c r="C391" s="40"/>
      <c r="D391" s="86"/>
      <c r="E391" s="86"/>
      <c r="F391" s="86"/>
      <c r="G391" s="86"/>
      <c r="H391" s="86"/>
      <c r="I391" s="40"/>
      <c r="J391" s="87"/>
    </row>
    <row r="392" spans="1:10" ht="12.75">
      <c r="A392" s="40"/>
      <c r="B392" s="40"/>
      <c r="C392" s="40"/>
      <c r="D392" s="86"/>
      <c r="E392" s="86"/>
      <c r="F392" s="86"/>
      <c r="G392" s="86"/>
      <c r="H392" s="86"/>
      <c r="I392" s="40"/>
      <c r="J392" s="87"/>
    </row>
    <row r="393" spans="1:10" ht="12.75">
      <c r="A393" s="40"/>
      <c r="B393" s="40"/>
      <c r="C393" s="40"/>
      <c r="D393" s="86"/>
      <c r="E393" s="86"/>
      <c r="F393" s="86"/>
      <c r="G393" s="86"/>
      <c r="H393" s="86"/>
      <c r="I393" s="40"/>
      <c r="J393" s="87"/>
    </row>
    <row r="394" spans="1:10" ht="12.75">
      <c r="A394" s="40"/>
      <c r="B394" s="40"/>
      <c r="C394" s="40"/>
      <c r="D394" s="86"/>
      <c r="E394" s="86"/>
      <c r="F394" s="86"/>
      <c r="G394" s="86"/>
      <c r="H394" s="86"/>
      <c r="I394" s="40"/>
      <c r="J394" s="87"/>
    </row>
    <row r="395" spans="1:10" ht="12.75">
      <c r="A395" s="40"/>
      <c r="B395" s="40"/>
      <c r="C395" s="40"/>
      <c r="D395" s="86"/>
      <c r="E395" s="86"/>
      <c r="F395" s="86"/>
      <c r="G395" s="86"/>
      <c r="H395" s="86"/>
      <c r="I395" s="40"/>
      <c r="J395" s="87"/>
    </row>
    <row r="396" spans="1:10" ht="12.75">
      <c r="A396" s="40"/>
      <c r="B396" s="40"/>
      <c r="C396" s="40"/>
      <c r="D396" s="86"/>
      <c r="E396" s="86"/>
      <c r="F396" s="86"/>
      <c r="G396" s="86"/>
      <c r="H396" s="86"/>
      <c r="I396" s="40"/>
      <c r="J396" s="87"/>
    </row>
    <row r="397" spans="1:10" ht="12.75">
      <c r="A397" s="40"/>
      <c r="B397" s="40"/>
      <c r="C397" s="40"/>
      <c r="D397" s="86"/>
      <c r="E397" s="86"/>
      <c r="F397" s="86"/>
      <c r="G397" s="86"/>
      <c r="H397" s="86"/>
      <c r="I397" s="40"/>
      <c r="J397" s="87"/>
    </row>
    <row r="398" spans="1:10" ht="12.75">
      <c r="A398" s="40"/>
      <c r="B398" s="40"/>
      <c r="C398" s="40"/>
      <c r="D398" s="86"/>
      <c r="E398" s="86"/>
      <c r="F398" s="86"/>
      <c r="G398" s="86"/>
      <c r="H398" s="86"/>
      <c r="I398" s="40"/>
      <c r="J398" s="87"/>
    </row>
    <row r="399" spans="1:10" ht="12.75">
      <c r="A399" s="40"/>
      <c r="B399" s="40"/>
      <c r="C399" s="40"/>
      <c r="D399" s="86"/>
      <c r="E399" s="86"/>
      <c r="F399" s="86"/>
      <c r="G399" s="86"/>
      <c r="H399" s="86"/>
      <c r="I399" s="40"/>
      <c r="J399" s="87"/>
    </row>
    <row r="400" spans="1:10" ht="12.75">
      <c r="A400" s="40"/>
      <c r="B400" s="40"/>
      <c r="C400" s="40"/>
      <c r="D400" s="86"/>
      <c r="E400" s="86"/>
      <c r="F400" s="86"/>
      <c r="G400" s="86"/>
      <c r="H400" s="86"/>
      <c r="I400" s="40"/>
      <c r="J400" s="87"/>
    </row>
    <row r="401" spans="1:10" ht="12.75">
      <c r="A401" s="40"/>
      <c r="B401" s="40"/>
      <c r="C401" s="40"/>
      <c r="D401" s="86"/>
      <c r="E401" s="86"/>
      <c r="F401" s="86"/>
      <c r="G401" s="86"/>
      <c r="H401" s="86"/>
      <c r="I401" s="40"/>
      <c r="J401" s="87"/>
    </row>
    <row r="402" spans="1:10" ht="12.75">
      <c r="A402" s="40"/>
      <c r="B402" s="40"/>
      <c r="C402" s="40"/>
      <c r="D402" s="86"/>
      <c r="E402" s="86"/>
      <c r="F402" s="86"/>
      <c r="G402" s="86"/>
      <c r="H402" s="86"/>
      <c r="I402" s="40"/>
      <c r="J402" s="87"/>
    </row>
    <row r="403" spans="1:10" ht="12.75">
      <c r="A403" s="40"/>
      <c r="B403" s="40"/>
      <c r="C403" s="40"/>
      <c r="D403" s="86"/>
      <c r="E403" s="86"/>
      <c r="F403" s="86"/>
      <c r="G403" s="86"/>
      <c r="H403" s="86"/>
      <c r="I403" s="40"/>
      <c r="J403" s="87"/>
    </row>
    <row r="404" spans="1:10" ht="12.75">
      <c r="A404" s="40"/>
      <c r="B404" s="40"/>
      <c r="C404" s="40"/>
      <c r="D404" s="86"/>
      <c r="E404" s="86"/>
      <c r="F404" s="86"/>
      <c r="G404" s="86"/>
      <c r="H404" s="86"/>
      <c r="I404" s="40"/>
      <c r="J404" s="87"/>
    </row>
    <row r="405" spans="1:10" ht="12.75">
      <c r="A405" s="40"/>
      <c r="B405" s="40"/>
      <c r="C405" s="40"/>
      <c r="D405" s="86"/>
      <c r="E405" s="86"/>
      <c r="F405" s="86"/>
      <c r="G405" s="86"/>
      <c r="H405" s="86"/>
      <c r="I405" s="40"/>
      <c r="J405" s="87"/>
    </row>
    <row r="406" spans="1:10" ht="12.75">
      <c r="A406" s="40"/>
      <c r="B406" s="40"/>
      <c r="C406" s="40"/>
      <c r="D406" s="86"/>
      <c r="E406" s="86"/>
      <c r="F406" s="86"/>
      <c r="G406" s="86"/>
      <c r="H406" s="86"/>
      <c r="I406" s="40"/>
      <c r="J406" s="87"/>
    </row>
    <row r="407" spans="1:10" ht="12.75">
      <c r="A407" s="40"/>
      <c r="B407" s="40"/>
      <c r="C407" s="40"/>
      <c r="D407" s="86"/>
      <c r="E407" s="86"/>
      <c r="F407" s="86"/>
      <c r="G407" s="86"/>
      <c r="H407" s="86"/>
      <c r="I407" s="40"/>
      <c r="J407" s="87"/>
    </row>
    <row r="408" spans="1:10" ht="12.75">
      <c r="A408" s="40"/>
      <c r="B408" s="40"/>
      <c r="C408" s="40"/>
      <c r="D408" s="86"/>
      <c r="E408" s="86"/>
      <c r="F408" s="86"/>
      <c r="G408" s="86"/>
      <c r="H408" s="86"/>
      <c r="I408" s="40"/>
      <c r="J408" s="87"/>
    </row>
    <row r="409" spans="1:10" ht="12.75">
      <c r="A409" s="40"/>
      <c r="B409" s="40"/>
      <c r="C409" s="40"/>
      <c r="D409" s="86"/>
      <c r="E409" s="86"/>
      <c r="F409" s="86"/>
      <c r="G409" s="86"/>
      <c r="H409" s="86"/>
      <c r="I409" s="40"/>
      <c r="J409" s="87"/>
    </row>
    <row r="410" spans="1:10" ht="12.75">
      <c r="A410" s="40"/>
      <c r="B410" s="40"/>
      <c r="C410" s="40"/>
      <c r="D410" s="86"/>
      <c r="E410" s="86"/>
      <c r="F410" s="86"/>
      <c r="G410" s="86"/>
      <c r="H410" s="86"/>
      <c r="I410" s="40"/>
      <c r="J410" s="87"/>
    </row>
    <row r="411" spans="1:10" ht="12.75">
      <c r="A411" s="40"/>
      <c r="B411" s="40"/>
      <c r="C411" s="40"/>
      <c r="D411" s="86"/>
      <c r="E411" s="86"/>
      <c r="F411" s="86"/>
      <c r="G411" s="86"/>
      <c r="H411" s="86"/>
      <c r="I411" s="40"/>
      <c r="J411" s="87"/>
    </row>
    <row r="412" spans="1:10" ht="12.75">
      <c r="A412" s="40"/>
      <c r="B412" s="40"/>
      <c r="C412" s="40"/>
      <c r="D412" s="86"/>
      <c r="E412" s="86"/>
      <c r="F412" s="86"/>
      <c r="G412" s="86"/>
      <c r="H412" s="86"/>
      <c r="I412" s="40"/>
      <c r="J412" s="87"/>
    </row>
    <row r="413" spans="1:10" ht="12.75">
      <c r="A413" s="40"/>
      <c r="B413" s="40"/>
      <c r="C413" s="40"/>
      <c r="D413" s="86"/>
      <c r="E413" s="86"/>
      <c r="F413" s="86"/>
      <c r="G413" s="86"/>
      <c r="H413" s="86"/>
      <c r="I413" s="40"/>
      <c r="J413" s="87"/>
    </row>
    <row r="414" spans="1:10" ht="12.75">
      <c r="A414" s="40"/>
      <c r="B414" s="40"/>
      <c r="C414" s="40"/>
      <c r="D414" s="86"/>
      <c r="E414" s="86"/>
      <c r="F414" s="86"/>
      <c r="G414" s="86"/>
      <c r="H414" s="86"/>
      <c r="I414" s="40"/>
      <c r="J414" s="87"/>
    </row>
    <row r="415" spans="1:10" ht="12.75">
      <c r="A415" s="40"/>
      <c r="B415" s="40"/>
      <c r="C415" s="40"/>
      <c r="D415" s="86"/>
      <c r="E415" s="86"/>
      <c r="F415" s="86"/>
      <c r="G415" s="86"/>
      <c r="H415" s="86"/>
      <c r="I415" s="40"/>
      <c r="J415" s="87"/>
    </row>
    <row r="416" spans="1:10" ht="12.75">
      <c r="A416" s="40"/>
      <c r="B416" s="40"/>
      <c r="C416" s="40"/>
      <c r="D416" s="86"/>
      <c r="E416" s="86"/>
      <c r="F416" s="86"/>
      <c r="G416" s="86"/>
      <c r="H416" s="86"/>
      <c r="I416" s="40"/>
      <c r="J416" s="87"/>
    </row>
    <row r="417" spans="1:10" ht="12.75">
      <c r="A417" s="40"/>
      <c r="B417" s="40"/>
      <c r="C417" s="40"/>
      <c r="D417" s="86"/>
      <c r="E417" s="86"/>
      <c r="F417" s="86"/>
      <c r="G417" s="86"/>
      <c r="H417" s="86"/>
      <c r="I417" s="40"/>
      <c r="J417" s="87"/>
    </row>
    <row r="418" spans="1:10" ht="12.75">
      <c r="A418" s="40"/>
      <c r="B418" s="40"/>
      <c r="C418" s="40"/>
      <c r="D418" s="86"/>
      <c r="E418" s="86"/>
      <c r="F418" s="86"/>
      <c r="G418" s="86"/>
      <c r="H418" s="86"/>
      <c r="I418" s="40"/>
      <c r="J418" s="87"/>
    </row>
    <row r="419" spans="1:10" ht="12.75">
      <c r="A419" s="40"/>
      <c r="B419" s="40"/>
      <c r="C419" s="40"/>
      <c r="D419" s="86"/>
      <c r="E419" s="86"/>
      <c r="F419" s="86"/>
      <c r="G419" s="86"/>
      <c r="H419" s="86"/>
      <c r="I419" s="40"/>
      <c r="J419" s="87"/>
    </row>
    <row r="420" spans="1:10" ht="12.75">
      <c r="A420" s="40"/>
      <c r="B420" s="40"/>
      <c r="C420" s="40"/>
      <c r="D420" s="86"/>
      <c r="E420" s="86"/>
      <c r="F420" s="86"/>
      <c r="G420" s="86"/>
      <c r="H420" s="86"/>
      <c r="I420" s="40"/>
      <c r="J420" s="87"/>
    </row>
    <row r="421" spans="1:10" ht="12.75">
      <c r="A421" s="40"/>
      <c r="B421" s="40"/>
      <c r="C421" s="40"/>
      <c r="D421" s="86"/>
      <c r="E421" s="86"/>
      <c r="F421" s="86"/>
      <c r="G421" s="86"/>
      <c r="H421" s="86"/>
      <c r="I421" s="40"/>
      <c r="J421" s="87"/>
    </row>
    <row r="422" spans="1:10" ht="12.75">
      <c r="A422" s="40"/>
      <c r="B422" s="40"/>
      <c r="C422" s="40"/>
      <c r="D422" s="86"/>
      <c r="E422" s="86"/>
      <c r="F422" s="86"/>
      <c r="G422" s="86"/>
      <c r="H422" s="86"/>
      <c r="I422" s="40"/>
      <c r="J422" s="87"/>
    </row>
    <row r="423" spans="1:10" ht="12.75">
      <c r="A423" s="40"/>
      <c r="B423" s="40"/>
      <c r="C423" s="40"/>
      <c r="D423" s="86"/>
      <c r="E423" s="86"/>
      <c r="F423" s="86"/>
      <c r="G423" s="86"/>
      <c r="H423" s="86"/>
      <c r="I423" s="40"/>
      <c r="J423" s="87"/>
    </row>
    <row r="424" spans="1:10" ht="12.75">
      <c r="A424" s="40"/>
      <c r="B424" s="40"/>
      <c r="C424" s="40"/>
      <c r="D424" s="86"/>
      <c r="E424" s="86"/>
      <c r="F424" s="86"/>
      <c r="G424" s="86"/>
      <c r="H424" s="86"/>
      <c r="I424" s="40"/>
      <c r="J424" s="87"/>
    </row>
    <row r="425" spans="1:10" ht="12.75">
      <c r="A425" s="40"/>
      <c r="B425" s="40"/>
      <c r="C425" s="40"/>
      <c r="D425" s="86"/>
      <c r="E425" s="86"/>
      <c r="F425" s="86"/>
      <c r="G425" s="86"/>
      <c r="H425" s="86"/>
      <c r="I425" s="40"/>
      <c r="J425" s="87"/>
    </row>
    <row r="426" spans="1:10" ht="12.75">
      <c r="A426" s="40"/>
      <c r="B426" s="40"/>
      <c r="C426" s="40"/>
      <c r="D426" s="86"/>
      <c r="E426" s="86"/>
      <c r="F426" s="86"/>
      <c r="G426" s="86"/>
      <c r="H426" s="86"/>
      <c r="I426" s="40"/>
      <c r="J426" s="87"/>
    </row>
    <row r="427" spans="1:10" ht="12.75">
      <c r="A427" s="40"/>
      <c r="B427" s="40"/>
      <c r="C427" s="40"/>
      <c r="D427" s="86"/>
      <c r="E427" s="86"/>
      <c r="F427" s="86"/>
      <c r="G427" s="86"/>
      <c r="H427" s="86"/>
      <c r="I427" s="40"/>
      <c r="J427" s="87"/>
    </row>
    <row r="428" spans="1:10" ht="12.75">
      <c r="A428" s="40"/>
      <c r="B428" s="40"/>
      <c r="C428" s="40"/>
      <c r="D428" s="86"/>
      <c r="E428" s="86"/>
      <c r="F428" s="86"/>
      <c r="G428" s="86"/>
      <c r="H428" s="86"/>
      <c r="I428" s="40"/>
      <c r="J428" s="87"/>
    </row>
    <row r="429" spans="1:10" ht="12.75">
      <c r="A429" s="40"/>
      <c r="B429" s="40"/>
      <c r="C429" s="40"/>
      <c r="D429" s="86"/>
      <c r="E429" s="86"/>
      <c r="F429" s="86"/>
      <c r="G429" s="86"/>
      <c r="H429" s="86"/>
      <c r="I429" s="40"/>
      <c r="J429" s="87"/>
    </row>
    <row r="430" spans="1:10" ht="12.75">
      <c r="A430" s="40"/>
      <c r="B430" s="40"/>
      <c r="C430" s="40"/>
      <c r="D430" s="86"/>
      <c r="E430" s="86"/>
      <c r="F430" s="86"/>
      <c r="G430" s="86"/>
      <c r="H430" s="86"/>
      <c r="I430" s="40"/>
      <c r="J430" s="87"/>
    </row>
    <row r="431" spans="1:10" ht="12.75">
      <c r="A431" s="40"/>
      <c r="B431" s="40"/>
      <c r="C431" s="40"/>
      <c r="D431" s="86"/>
      <c r="E431" s="86"/>
      <c r="F431" s="86"/>
      <c r="G431" s="86"/>
      <c r="H431" s="86"/>
      <c r="I431" s="40"/>
      <c r="J431" s="87"/>
    </row>
    <row r="432" spans="1:10" ht="12.75">
      <c r="A432" s="40"/>
      <c r="B432" s="40"/>
      <c r="C432" s="40"/>
      <c r="D432" s="86"/>
      <c r="E432" s="86"/>
      <c r="F432" s="86"/>
      <c r="G432" s="86"/>
      <c r="H432" s="86"/>
      <c r="I432" s="40"/>
      <c r="J432" s="87"/>
    </row>
    <row r="433" spans="1:10" ht="12.75">
      <c r="A433" s="40"/>
      <c r="B433" s="40"/>
      <c r="C433" s="40"/>
      <c r="D433" s="86"/>
      <c r="E433" s="86"/>
      <c r="F433" s="86"/>
      <c r="G433" s="86"/>
      <c r="H433" s="86"/>
      <c r="I433" s="40"/>
      <c r="J433" s="87"/>
    </row>
    <row r="434" spans="1:10" ht="12.75">
      <c r="A434" s="40"/>
      <c r="B434" s="40"/>
      <c r="C434" s="40"/>
      <c r="D434" s="86"/>
      <c r="E434" s="86"/>
      <c r="F434" s="86"/>
      <c r="G434" s="86"/>
      <c r="H434" s="86"/>
      <c r="I434" s="40"/>
      <c r="J434" s="87"/>
    </row>
    <row r="435" spans="1:10" ht="12.75">
      <c r="A435" s="40"/>
      <c r="B435" s="40"/>
      <c r="C435" s="40"/>
      <c r="D435" s="86"/>
      <c r="E435" s="86"/>
      <c r="F435" s="86"/>
      <c r="G435" s="86"/>
      <c r="H435" s="86"/>
      <c r="I435" s="40"/>
      <c r="J435" s="87"/>
    </row>
    <row r="436" spans="1:10" ht="12.75">
      <c r="A436" s="40"/>
      <c r="B436" s="40"/>
      <c r="C436" s="40"/>
      <c r="D436" s="86"/>
      <c r="E436" s="86"/>
      <c r="F436" s="86"/>
      <c r="G436" s="86"/>
      <c r="H436" s="86"/>
      <c r="I436" s="40"/>
      <c r="J436" s="87"/>
    </row>
    <row r="437" spans="1:10" ht="12.75">
      <c r="A437" s="40"/>
      <c r="B437" s="40"/>
      <c r="C437" s="40"/>
      <c r="D437" s="86"/>
      <c r="E437" s="86"/>
      <c r="F437" s="86"/>
      <c r="G437" s="86"/>
      <c r="H437" s="86"/>
      <c r="I437" s="40"/>
      <c r="J437" s="87"/>
    </row>
    <row r="438" spans="1:10" ht="12.75">
      <c r="A438" s="40"/>
      <c r="B438" s="40"/>
      <c r="C438" s="40"/>
      <c r="D438" s="86"/>
      <c r="E438" s="86"/>
      <c r="F438" s="86"/>
      <c r="G438" s="86"/>
      <c r="H438" s="86"/>
      <c r="I438" s="40"/>
      <c r="J438" s="87"/>
    </row>
    <row r="439" spans="1:10" ht="12.75">
      <c r="A439" s="40"/>
      <c r="B439" s="40"/>
      <c r="C439" s="40"/>
      <c r="D439" s="86"/>
      <c r="E439" s="86"/>
      <c r="F439" s="86"/>
      <c r="G439" s="86"/>
      <c r="H439" s="86"/>
      <c r="I439" s="40"/>
      <c r="J439" s="87"/>
    </row>
    <row r="440" spans="1:10" ht="12.75">
      <c r="A440" s="40"/>
      <c r="B440" s="40"/>
      <c r="C440" s="40"/>
      <c r="D440" s="86"/>
      <c r="E440" s="86"/>
      <c r="F440" s="86"/>
      <c r="G440" s="86"/>
      <c r="H440" s="86"/>
      <c r="I440" s="40"/>
      <c r="J440" s="87"/>
    </row>
    <row r="441" spans="1:10" ht="12.75">
      <c r="A441" s="40"/>
      <c r="B441" s="40"/>
      <c r="C441" s="40"/>
      <c r="D441" s="86"/>
      <c r="E441" s="86"/>
      <c r="F441" s="86"/>
      <c r="G441" s="86"/>
      <c r="H441" s="86"/>
      <c r="I441" s="40"/>
      <c r="J441" s="87"/>
    </row>
    <row r="442" spans="1:10" ht="12.75">
      <c r="A442" s="40"/>
      <c r="B442" s="40"/>
      <c r="C442" s="40"/>
      <c r="D442" s="86"/>
      <c r="E442" s="86"/>
      <c r="F442" s="86"/>
      <c r="G442" s="86"/>
      <c r="H442" s="86"/>
      <c r="I442" s="40"/>
      <c r="J442" s="87"/>
    </row>
    <row r="443" spans="1:10" ht="12.75">
      <c r="A443" s="40"/>
      <c r="B443" s="40"/>
      <c r="C443" s="40"/>
      <c r="D443" s="86"/>
      <c r="E443" s="86"/>
      <c r="F443" s="86"/>
      <c r="G443" s="86"/>
      <c r="H443" s="86"/>
      <c r="I443" s="40"/>
      <c r="J443" s="87"/>
    </row>
    <row r="444" spans="1:10" ht="12.75">
      <c r="A444" s="40"/>
      <c r="B444" s="40"/>
      <c r="C444" s="40"/>
      <c r="D444" s="86"/>
      <c r="E444" s="86"/>
      <c r="F444" s="86"/>
      <c r="G444" s="86"/>
      <c r="H444" s="86"/>
      <c r="I444" s="40"/>
      <c r="J444" s="87"/>
    </row>
    <row r="445" spans="1:10" ht="12.75">
      <c r="A445" s="40"/>
      <c r="B445" s="40"/>
      <c r="C445" s="40"/>
      <c r="D445" s="86"/>
      <c r="E445" s="86"/>
      <c r="F445" s="86"/>
      <c r="G445" s="86"/>
      <c r="H445" s="86"/>
      <c r="I445" s="40"/>
      <c r="J445" s="87"/>
    </row>
    <row r="446" spans="1:10" ht="12.75">
      <c r="A446" s="40"/>
      <c r="B446" s="40"/>
      <c r="C446" s="40"/>
      <c r="D446" s="86"/>
      <c r="E446" s="86"/>
      <c r="F446" s="86"/>
      <c r="G446" s="86"/>
      <c r="H446" s="86"/>
      <c r="I446" s="40"/>
      <c r="J446" s="87"/>
    </row>
    <row r="447" spans="1:10" ht="12.75">
      <c r="A447" s="40"/>
      <c r="B447" s="40"/>
      <c r="C447" s="40"/>
      <c r="D447" s="86"/>
      <c r="E447" s="86"/>
      <c r="F447" s="86"/>
      <c r="G447" s="86"/>
      <c r="H447" s="86"/>
      <c r="I447" s="40"/>
      <c r="J447" s="87"/>
    </row>
    <row r="448" spans="1:10" ht="12.75">
      <c r="A448" s="40"/>
      <c r="B448" s="40"/>
      <c r="C448" s="40"/>
      <c r="D448" s="86"/>
      <c r="E448" s="86"/>
      <c r="F448" s="86"/>
      <c r="G448" s="86"/>
      <c r="H448" s="86"/>
      <c r="I448" s="40"/>
      <c r="J448" s="87"/>
    </row>
    <row r="449" spans="1:10" ht="12.75">
      <c r="A449" s="40"/>
      <c r="B449" s="40"/>
      <c r="C449" s="40"/>
      <c r="D449" s="86"/>
      <c r="E449" s="86"/>
      <c r="F449" s="86"/>
      <c r="G449" s="86"/>
      <c r="H449" s="86"/>
      <c r="I449" s="40"/>
      <c r="J449" s="87"/>
    </row>
    <row r="450" spans="1:10" ht="12.75">
      <c r="A450" s="40"/>
      <c r="B450" s="40"/>
      <c r="C450" s="40"/>
      <c r="D450" s="86"/>
      <c r="E450" s="86"/>
      <c r="F450" s="86"/>
      <c r="G450" s="86"/>
      <c r="H450" s="86"/>
      <c r="I450" s="40"/>
      <c r="J450" s="87"/>
    </row>
    <row r="451" spans="1:10" ht="12.75">
      <c r="A451" s="40"/>
      <c r="B451" s="40"/>
      <c r="C451" s="40"/>
      <c r="D451" s="86"/>
      <c r="E451" s="86"/>
      <c r="F451" s="86"/>
      <c r="G451" s="86"/>
      <c r="H451" s="86"/>
      <c r="I451" s="40"/>
      <c r="J451" s="87"/>
    </row>
    <row r="452" spans="1:10" ht="12.75">
      <c r="A452" s="40"/>
      <c r="B452" s="40"/>
      <c r="C452" s="40"/>
      <c r="D452" s="86"/>
      <c r="E452" s="86"/>
      <c r="F452" s="86"/>
      <c r="G452" s="86"/>
      <c r="H452" s="86"/>
      <c r="I452" s="40"/>
      <c r="J452" s="87"/>
    </row>
    <row r="453" spans="1:10" ht="12.75">
      <c r="A453" s="40"/>
      <c r="B453" s="40"/>
      <c r="C453" s="40"/>
      <c r="D453" s="86"/>
      <c r="E453" s="86"/>
      <c r="F453" s="86"/>
      <c r="G453" s="86"/>
      <c r="H453" s="86"/>
      <c r="I453" s="40"/>
      <c r="J453" s="87"/>
    </row>
    <row r="454" spans="1:10" ht="12.75">
      <c r="A454" s="40"/>
      <c r="B454" s="40"/>
      <c r="C454" s="40"/>
      <c r="D454" s="86"/>
      <c r="E454" s="86"/>
      <c r="F454" s="86"/>
      <c r="G454" s="86"/>
      <c r="H454" s="86"/>
      <c r="I454" s="40"/>
      <c r="J454" s="87"/>
    </row>
    <row r="455" spans="1:10" ht="12.75">
      <c r="A455" s="40"/>
      <c r="B455" s="40"/>
      <c r="C455" s="40"/>
      <c r="D455" s="86"/>
      <c r="E455" s="86"/>
      <c r="F455" s="86"/>
      <c r="G455" s="86"/>
      <c r="H455" s="86"/>
      <c r="I455" s="40"/>
      <c r="J455" s="87"/>
    </row>
    <row r="456" spans="1:10" ht="12.75">
      <c r="A456" s="40"/>
      <c r="B456" s="40"/>
      <c r="C456" s="40"/>
      <c r="D456" s="86"/>
      <c r="E456" s="86"/>
      <c r="F456" s="86"/>
      <c r="G456" s="86"/>
      <c r="H456" s="86"/>
      <c r="I456" s="40"/>
      <c r="J456" s="87"/>
    </row>
    <row r="457" spans="1:10" ht="12.75">
      <c r="A457" s="40"/>
      <c r="B457" s="40"/>
      <c r="C457" s="40"/>
      <c r="D457" s="86"/>
      <c r="E457" s="86"/>
      <c r="F457" s="86"/>
      <c r="G457" s="86"/>
      <c r="H457" s="86"/>
      <c r="I457" s="40"/>
      <c r="J457" s="87"/>
    </row>
    <row r="458" spans="1:10" ht="12.75">
      <c r="A458" s="40"/>
      <c r="B458" s="40"/>
      <c r="C458" s="40"/>
      <c r="D458" s="86"/>
      <c r="E458" s="86"/>
      <c r="F458" s="86"/>
      <c r="G458" s="86"/>
      <c r="H458" s="86"/>
      <c r="I458" s="40"/>
      <c r="J458" s="87"/>
    </row>
    <row r="459" spans="1:10" ht="12.75">
      <c r="A459" s="40"/>
      <c r="B459" s="40"/>
      <c r="C459" s="40"/>
      <c r="D459" s="86"/>
      <c r="E459" s="86"/>
      <c r="F459" s="86"/>
      <c r="G459" s="86"/>
      <c r="H459" s="86"/>
      <c r="I459" s="40"/>
      <c r="J459" s="87"/>
    </row>
    <row r="460" spans="1:10" ht="12.75">
      <c r="A460" s="40"/>
      <c r="B460" s="40"/>
      <c r="C460" s="40"/>
      <c r="D460" s="86"/>
      <c r="E460" s="86"/>
      <c r="F460" s="86"/>
      <c r="G460" s="86"/>
      <c r="H460" s="86"/>
      <c r="I460" s="40"/>
      <c r="J460" s="87"/>
    </row>
    <row r="461" spans="1:10" ht="12.75">
      <c r="A461" s="40"/>
      <c r="B461" s="40"/>
      <c r="C461" s="40"/>
      <c r="D461" s="86"/>
      <c r="E461" s="86"/>
      <c r="F461" s="86"/>
      <c r="G461" s="86"/>
      <c r="H461" s="86"/>
      <c r="I461" s="40"/>
      <c r="J461" s="87"/>
    </row>
    <row r="462" spans="1:10" ht="12.75">
      <c r="A462" s="40"/>
      <c r="B462" s="40"/>
      <c r="C462" s="40"/>
      <c r="D462" s="86"/>
      <c r="E462" s="86"/>
      <c r="F462" s="86"/>
      <c r="G462" s="86"/>
      <c r="H462" s="86"/>
      <c r="I462" s="40"/>
      <c r="J462" s="87"/>
    </row>
    <row r="463" spans="1:10" ht="12.75">
      <c r="A463" s="40"/>
      <c r="B463" s="40"/>
      <c r="C463" s="40"/>
      <c r="D463" s="86"/>
      <c r="E463" s="86"/>
      <c r="F463" s="86"/>
      <c r="G463" s="86"/>
      <c r="H463" s="86"/>
      <c r="I463" s="40"/>
      <c r="J463" s="87"/>
    </row>
    <row r="464" spans="1:10" ht="12.75">
      <c r="A464" s="40"/>
      <c r="B464" s="40"/>
      <c r="C464" s="40"/>
      <c r="D464" s="86"/>
      <c r="E464" s="86"/>
      <c r="F464" s="86"/>
      <c r="G464" s="86"/>
      <c r="H464" s="86"/>
      <c r="I464" s="40"/>
      <c r="J464" s="87"/>
    </row>
    <row r="465" spans="1:10" ht="12.75">
      <c r="A465" s="40"/>
      <c r="B465" s="40"/>
      <c r="C465" s="40"/>
      <c r="D465" s="86"/>
      <c r="E465" s="86"/>
      <c r="F465" s="86"/>
      <c r="G465" s="86"/>
      <c r="H465" s="86"/>
      <c r="I465" s="40"/>
      <c r="J465" s="87"/>
    </row>
    <row r="466" spans="1:10" ht="12.75">
      <c r="A466" s="40"/>
      <c r="B466" s="40"/>
      <c r="C466" s="40"/>
      <c r="D466" s="86"/>
      <c r="E466" s="86"/>
      <c r="F466" s="86"/>
      <c r="G466" s="86"/>
      <c r="H466" s="86"/>
      <c r="I466" s="40"/>
      <c r="J466" s="87"/>
    </row>
    <row r="467" spans="1:10" ht="12.75">
      <c r="A467" s="40"/>
      <c r="B467" s="40"/>
      <c r="C467" s="40"/>
      <c r="D467" s="86"/>
      <c r="E467" s="86"/>
      <c r="F467" s="86"/>
      <c r="G467" s="86"/>
      <c r="H467" s="86"/>
      <c r="I467" s="40"/>
      <c r="J467" s="87"/>
    </row>
    <row r="468" spans="1:10" ht="12.75">
      <c r="A468" s="40"/>
      <c r="B468" s="40"/>
      <c r="C468" s="40"/>
      <c r="D468" s="86"/>
      <c r="E468" s="86"/>
      <c r="F468" s="86"/>
      <c r="G468" s="86"/>
      <c r="H468" s="86"/>
      <c r="I468" s="40"/>
      <c r="J468" s="87"/>
    </row>
    <row r="469" spans="1:10" ht="12.75">
      <c r="A469" s="40"/>
      <c r="B469" s="40"/>
      <c r="C469" s="40"/>
      <c r="D469" s="86"/>
      <c r="E469" s="86"/>
      <c r="F469" s="86"/>
      <c r="G469" s="86"/>
      <c r="H469" s="86"/>
      <c r="I469" s="40"/>
      <c r="J469" s="87"/>
    </row>
  </sheetData>
  <printOptions/>
  <pageMargins left="0.5" right="0.5" top="1" bottom="1" header="0.5" footer="0.5"/>
  <pageSetup orientation="landscape" paperSize="9"/>
  <headerFooter alignWithMargins="0">
    <oddFooter>&amp;L&amp;"Verdana,Bold" Product Totals&amp;CAs of 6/21/06
Based on results of patch test&amp;RPage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NASA_SAIC_MODIS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Trial User</dc:creator>
  <cp:keywords/>
  <dc:description/>
  <cp:lastModifiedBy>Carol Davidson</cp:lastModifiedBy>
  <cp:lastPrinted>2006-05-17T15:49:47Z</cp:lastPrinted>
  <dcterms:created xsi:type="dcterms:W3CDTF">2005-08-23T13:34:48Z</dcterms:created>
  <cp:category/>
  <cp:version/>
  <cp:contentType/>
  <cp:contentStatus/>
</cp:coreProperties>
</file>